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Assignments\Mahagenco\MYT FY26-30\Model\"/>
    </mc:Choice>
  </mc:AlternateContent>
  <xr:revisionPtr revIDLastSave="0" documentId="13_ncr:1_{508CE910-381E-4935-9510-DB8B9EFAC3DE}" xr6:coauthVersionLast="47" xr6:coauthVersionMax="47" xr10:uidLastSave="{00000000-0000-0000-0000-000000000000}"/>
  <bookViews>
    <workbookView xWindow="-110" yWindow="-110" windowWidth="19420" windowHeight="10300" tabRatio="926" activeTab="1" xr2:uid="{00000000-000D-0000-FFFF-FFFF00000000}"/>
  </bookViews>
  <sheets>
    <sheet name="Index" sheetId="57" r:id="rId1"/>
    <sheet name="F1" sheetId="58" r:id="rId2"/>
    <sheet name="F1.1" sheetId="80" r:id="rId3"/>
    <sheet name="F2.1" sheetId="81" r:id="rId4"/>
    <sheet name="F2.2" sheetId="59" r:id="rId5"/>
    <sheet name="F2.3" sheetId="60" r:id="rId6"/>
    <sheet name="F2.4" sheetId="61" r:id="rId7"/>
    <sheet name="F2.5" sheetId="62" state="hidden" r:id="rId8"/>
    <sheet name="F2.6" sheetId="79" state="hidden" r:id="rId9"/>
    <sheet name="F2.7" sheetId="63" state="hidden" r:id="rId10"/>
    <sheet name="F2.8" sheetId="64" state="hidden" r:id="rId11"/>
    <sheet name="F3" sheetId="65" r:id="rId12"/>
    <sheet name="F3.1" sheetId="66" r:id="rId13"/>
    <sheet name="F3.2" sheetId="67" state="hidden" r:id="rId14"/>
    <sheet name="F3.3" sheetId="68" state="hidden" r:id="rId15"/>
    <sheet name="F3.4" sheetId="69" state="hidden" r:id="rId16"/>
    <sheet name="F4" sheetId="93" r:id="rId17"/>
    <sheet name="F4.1" sheetId="94" state="hidden" r:id="rId18"/>
    <sheet name="F4.2" sheetId="95" state="hidden" r:id="rId19"/>
    <sheet name="F4.3" sheetId="96" state="hidden" r:id="rId20"/>
    <sheet name="F5" sheetId="70" r:id="rId21"/>
    <sheet name="F6" sheetId="54" r:id="rId22"/>
    <sheet name="F7" sheetId="55" r:id="rId23"/>
    <sheet name="F8" sheetId="71" r:id="rId24"/>
    <sheet name="F9" sheetId="72" r:id="rId25"/>
    <sheet name="F9.1" sheetId="91" state="hidden" r:id="rId26"/>
    <sheet name="F9.2" sheetId="73" r:id="rId27"/>
    <sheet name="F9.3" sheetId="74" r:id="rId28"/>
    <sheet name="F10" sheetId="77" state="hidden" r:id="rId29"/>
    <sheet name="F11" sheetId="75" state="hidden" r:id="rId30"/>
    <sheet name="F12" sheetId="76" r:id="rId31"/>
    <sheet name="F13" sheetId="78" state="hidden" r:id="rId32"/>
  </sheets>
  <externalReferences>
    <externalReference r:id="rId33"/>
    <externalReference r:id="rId34"/>
    <externalReference r:id="rId35"/>
  </externalReferences>
  <definedNames>
    <definedName name="__123Graph_A" localSheetId="16" hidden="1">[1]CE!#REF!</definedName>
    <definedName name="__123Graph_A" hidden="1">[1]CE!#REF!</definedName>
    <definedName name="__123Graph_ASTNPLF" localSheetId="16" hidden="1">[1]CE!#REF!</definedName>
    <definedName name="__123Graph_ASTNPLF" hidden="1">[1]CE!#REF!</definedName>
    <definedName name="__123Graph_B" localSheetId="16" hidden="1">[1]CE!#REF!</definedName>
    <definedName name="__123Graph_B" hidden="1">[1]CE!#REF!</definedName>
    <definedName name="__123Graph_BSTNPLF" localSheetId="16" hidden="1">[1]CE!#REF!</definedName>
    <definedName name="__123Graph_BSTNPLF" hidden="1">[1]CE!#REF!</definedName>
    <definedName name="__123Graph_C" localSheetId="16" hidden="1">[1]CE!#REF!</definedName>
    <definedName name="__123Graph_C" hidden="1">[1]CE!#REF!</definedName>
    <definedName name="__123Graph_CSTNPLF" localSheetId="16" hidden="1">[1]CE!#REF!</definedName>
    <definedName name="__123Graph_CSTNPLF" hidden="1">[1]CE!#REF!</definedName>
    <definedName name="__123Graph_X" localSheetId="16" hidden="1">[1]CE!#REF!</definedName>
    <definedName name="__123Graph_X" hidden="1">[1]CE!#REF!</definedName>
    <definedName name="__123Graph_XSTNPLF" localSheetId="16" hidden="1">[1]CE!#REF!</definedName>
    <definedName name="__123Graph_XSTNPLF" hidden="1">[1]CE!#REF!</definedName>
    <definedName name="_Fill" localSheetId="16" hidden="1">#REF!</definedName>
    <definedName name="_Fill" hidden="1">#REF!</definedName>
    <definedName name="_Order1" hidden="1">255</definedName>
    <definedName name="new" localSheetId="16" hidden="1">[1]CE!#REF!</definedName>
    <definedName name="new" hidden="1">[1]CE!#REF!</definedName>
    <definedName name="_xlnm.Print_Area" localSheetId="2">'F1.1'!$A$1:$I$14</definedName>
    <definedName name="_xlnm.Print_Area" localSheetId="29">'F11'!$A$1:$J$23</definedName>
    <definedName name="_xlnm.Print_Area" localSheetId="3">'F2.1'!$A$1:$K$55</definedName>
    <definedName name="_xlnm.Print_Area" localSheetId="5">'F2.3'!$A$1:$K$24</definedName>
    <definedName name="_xlnm.Print_Area" localSheetId="6">'F2.4'!$A$1:$F$45</definedName>
    <definedName name="_xlnm.Print_Area" localSheetId="9">'F2.7'!$A$1:$F$17</definedName>
    <definedName name="_xlnm.Print_Area" localSheetId="10">'F2.8'!$A$1:$J$24</definedName>
    <definedName name="_xlnm.Print_Area" localSheetId="12">'F3.1'!$A$1:$O$45</definedName>
    <definedName name="_xlnm.Print_Area" localSheetId="16">'F4'!$A$1:$J$14</definedName>
    <definedName name="_xlnm.Print_Area" localSheetId="17">'F4.1'!$A$1:$T$53</definedName>
    <definedName name="_xlnm.Print_Area" localSheetId="22">'F7'!$A$1:$J$38</definedName>
    <definedName name="_xlnm.Print_Area" localSheetId="23">'F8'!$A$1:$P$56</definedName>
    <definedName name="_xlnm.Print_Area" localSheetId="24">'F9'!$A$1:$O$73</definedName>
    <definedName name="_xlnm.Print_Area" localSheetId="26">'F9.2'!$A$1:$N$74</definedName>
    <definedName name="_xlnm.Print_Area" localSheetId="27">'F9.3'!$A$1:$N$71</definedName>
    <definedName name="_xlnm.Print_Area" localSheetId="0">Index!$A$1:$D$43</definedName>
    <definedName name="xxxx" localSheetId="16" hidden="1">[1]CE!#REF!</definedName>
    <definedName name="xxxx" hidden="1">[1]CE!#REF!</definedName>
    <definedName name="Z_A05A0254_2D25_4269_AA4F_D166F945C039_.wvu.PrintArea" localSheetId="2" hidden="1">'F1.1'!$A$1:$B$15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80" l="1"/>
  <c r="G15" i="80"/>
  <c r="F15" i="80"/>
  <c r="E15" i="80"/>
  <c r="D15" i="80"/>
  <c r="C15" i="80"/>
  <c r="C13" i="80"/>
  <c r="D13" i="80"/>
  <c r="E13" i="80"/>
  <c r="F13" i="80"/>
  <c r="G13" i="80"/>
  <c r="H13" i="80"/>
  <c r="E29" i="70" l="1"/>
  <c r="I31" i="66"/>
  <c r="H31" i="66"/>
  <c r="G31" i="66"/>
  <c r="F31" i="66"/>
  <c r="E31" i="66"/>
  <c r="J41" i="61"/>
  <c r="I41" i="61"/>
  <c r="H41" i="61"/>
  <c r="G41" i="61"/>
  <c r="F41" i="61"/>
  <c r="F145" i="59"/>
  <c r="I14" i="93"/>
  <c r="H14" i="93"/>
  <c r="G14" i="93"/>
  <c r="F14" i="93"/>
  <c r="E14" i="93"/>
  <c r="E13" i="93"/>
  <c r="D31" i="66"/>
  <c r="E145" i="59"/>
  <c r="D16" i="55"/>
  <c r="I14" i="55"/>
  <c r="H14" i="55"/>
  <c r="G14" i="55"/>
  <c r="F14" i="55"/>
  <c r="E14" i="55"/>
  <c r="E32" i="61"/>
  <c r="E41" i="61" l="1"/>
  <c r="D14" i="93"/>
  <c r="B14" i="93"/>
  <c r="B13" i="93"/>
  <c r="E99" i="59"/>
  <c r="E97" i="59"/>
  <c r="E76" i="59"/>
  <c r="E75" i="59"/>
  <c r="B125" i="59"/>
  <c r="E29" i="81"/>
  <c r="M9" i="71"/>
  <c r="N9" i="71"/>
  <c r="J158" i="59"/>
  <c r="J156" i="59"/>
  <c r="J155" i="59"/>
  <c r="J146" i="59"/>
  <c r="J149" i="59" s="1"/>
  <c r="J139" i="59"/>
  <c r="J136" i="59"/>
  <c r="J137" i="59" s="1"/>
  <c r="J138" i="59" s="1"/>
  <c r="J135" i="59"/>
  <c r="J134" i="59"/>
  <c r="I158" i="59"/>
  <c r="I156" i="59"/>
  <c r="I155" i="59"/>
  <c r="I146" i="59"/>
  <c r="I149" i="59" s="1"/>
  <c r="I139" i="59"/>
  <c r="I136" i="59"/>
  <c r="I137" i="59" s="1"/>
  <c r="I138" i="59" s="1"/>
  <c r="I135" i="59"/>
  <c r="I134" i="59"/>
  <c r="H158" i="59"/>
  <c r="H156" i="59"/>
  <c r="H155" i="59"/>
  <c r="H146" i="59"/>
  <c r="H149" i="59" s="1"/>
  <c r="H139" i="59"/>
  <c r="H136" i="59"/>
  <c r="H137" i="59" s="1"/>
  <c r="H138" i="59" s="1"/>
  <c r="H140" i="59" s="1"/>
  <c r="H135" i="59"/>
  <c r="H134" i="59"/>
  <c r="G158" i="59"/>
  <c r="G156" i="59"/>
  <c r="G155" i="59"/>
  <c r="G146" i="59"/>
  <c r="G149" i="59" s="1"/>
  <c r="G139" i="59"/>
  <c r="G136" i="59"/>
  <c r="G137" i="59" s="1"/>
  <c r="G138" i="59" s="1"/>
  <c r="G140" i="59" s="1"/>
  <c r="G135" i="59"/>
  <c r="G134" i="59"/>
  <c r="F158" i="59"/>
  <c r="F156" i="59"/>
  <c r="F155" i="59"/>
  <c r="F146" i="59"/>
  <c r="F149" i="59" s="1"/>
  <c r="F139" i="59"/>
  <c r="F136" i="59"/>
  <c r="F137" i="59" s="1"/>
  <c r="F138" i="59" s="1"/>
  <c r="F140" i="59" s="1"/>
  <c r="F135" i="59"/>
  <c r="F134" i="59"/>
  <c r="E155" i="59"/>
  <c r="E146" i="59"/>
  <c r="E139" i="59"/>
  <c r="E136" i="59"/>
  <c r="E135" i="59"/>
  <c r="E134" i="59"/>
  <c r="E158" i="59"/>
  <c r="E156" i="59"/>
  <c r="I140" i="59" l="1"/>
  <c r="J140" i="59"/>
  <c r="E57" i="59" l="1"/>
  <c r="E149" i="59"/>
  <c r="E137" i="59"/>
  <c r="E138" i="59" s="1"/>
  <c r="E140" i="59" s="1"/>
  <c r="B155" i="59"/>
  <c r="B156" i="59" s="1"/>
  <c r="B157" i="59" s="1"/>
  <c r="B158" i="59" s="1"/>
  <c r="B159" i="59" s="1"/>
  <c r="B146" i="59"/>
  <c r="B147" i="59" s="1"/>
  <c r="B148" i="59" s="1"/>
  <c r="B149" i="59" s="1"/>
  <c r="B150" i="59" s="1"/>
  <c r="B132" i="59"/>
  <c r="B133" i="59" s="1"/>
  <c r="B134" i="59" s="1"/>
  <c r="B135" i="59" s="1"/>
  <c r="B136" i="59" s="1"/>
  <c r="B137" i="59" s="1"/>
  <c r="B138" i="59" s="1"/>
  <c r="B139" i="59" s="1"/>
  <c r="B140" i="59" s="1"/>
  <c r="B141" i="59" s="1"/>
  <c r="B11" i="58" l="1"/>
  <c r="B12" i="58"/>
  <c r="B13" i="58" s="1"/>
  <c r="B14" i="58" s="1"/>
  <c r="B15" i="58" s="1"/>
  <c r="B16" i="58" s="1"/>
  <c r="B17" i="58" s="1"/>
  <c r="B18" i="58" s="1"/>
  <c r="B19" i="58" s="1"/>
  <c r="B20" i="58" s="1"/>
  <c r="B21" i="58" s="1"/>
  <c r="B22" i="58" s="1"/>
  <c r="B10" i="58"/>
  <c r="E48" i="59"/>
  <c r="E54" i="59" s="1"/>
  <c r="E132" i="59" s="1"/>
  <c r="E133" i="59" s="1"/>
  <c r="E35" i="81"/>
  <c r="E36" i="81"/>
  <c r="H29" i="81"/>
  <c r="J29" i="81"/>
  <c r="I29" i="81"/>
  <c r="G29" i="81"/>
  <c r="F29" i="81"/>
  <c r="J78" i="59" l="1"/>
  <c r="J77" i="59"/>
  <c r="I78" i="59"/>
  <c r="I77" i="59"/>
  <c r="H78" i="59"/>
  <c r="H77" i="59"/>
  <c r="G78" i="59"/>
  <c r="G77" i="59"/>
  <c r="F78" i="59"/>
  <c r="F77" i="59"/>
  <c r="J84" i="59"/>
  <c r="J83" i="59"/>
  <c r="J82" i="59"/>
  <c r="J76" i="59" s="1"/>
  <c r="J81" i="59"/>
  <c r="J75" i="59" s="1"/>
  <c r="I84" i="59"/>
  <c r="I83" i="59"/>
  <c r="I82" i="59"/>
  <c r="I76" i="59" s="1"/>
  <c r="I81" i="59"/>
  <c r="I75" i="59" s="1"/>
  <c r="H84" i="59"/>
  <c r="H83" i="59"/>
  <c r="H82" i="59"/>
  <c r="H76" i="59" s="1"/>
  <c r="H81" i="59"/>
  <c r="H75" i="59" s="1"/>
  <c r="G84" i="59"/>
  <c r="G83" i="59"/>
  <c r="G82" i="59"/>
  <c r="G76" i="59" s="1"/>
  <c r="G81" i="59"/>
  <c r="G75" i="59" s="1"/>
  <c r="F84" i="59"/>
  <c r="F83" i="59"/>
  <c r="F82" i="59"/>
  <c r="F76" i="59" s="1"/>
  <c r="F81" i="59"/>
  <c r="F75" i="59" s="1"/>
  <c r="J69" i="59" l="1"/>
  <c r="J99" i="59" s="1"/>
  <c r="J68" i="59"/>
  <c r="J98" i="59" s="1"/>
  <c r="J67" i="59"/>
  <c r="J97" i="59" s="1"/>
  <c r="J66" i="59"/>
  <c r="I69" i="59"/>
  <c r="I99" i="59" s="1"/>
  <c r="I68" i="59"/>
  <c r="I98" i="59" s="1"/>
  <c r="I66" i="59"/>
  <c r="H69" i="59"/>
  <c r="H99" i="59" s="1"/>
  <c r="H68" i="59"/>
  <c r="H98" i="59" s="1"/>
  <c r="H67" i="59"/>
  <c r="H97" i="59" s="1"/>
  <c r="H66" i="59"/>
  <c r="G69" i="59"/>
  <c r="G99" i="59" s="1"/>
  <c r="G68" i="59"/>
  <c r="G98" i="59" s="1"/>
  <c r="G67" i="59"/>
  <c r="G97" i="59" s="1"/>
  <c r="G66" i="59"/>
  <c r="F69" i="59"/>
  <c r="F99" i="59" s="1"/>
  <c r="F68" i="59"/>
  <c r="F98" i="59" s="1"/>
  <c r="F67" i="59"/>
  <c r="F97" i="59" s="1"/>
  <c r="F66" i="59"/>
  <c r="J45" i="59"/>
  <c r="J44" i="59"/>
  <c r="J43" i="59"/>
  <c r="J49" i="59" s="1"/>
  <c r="J55" i="59" s="1"/>
  <c r="J90" i="59" s="1"/>
  <c r="J42" i="59"/>
  <c r="J48" i="59" s="1"/>
  <c r="J54" i="59" s="1"/>
  <c r="J132" i="59" s="1"/>
  <c r="J133" i="59" s="1"/>
  <c r="I45" i="59"/>
  <c r="I51" i="59" s="1"/>
  <c r="I57" i="59" s="1"/>
  <c r="I92" i="59" s="1"/>
  <c r="I44" i="59"/>
  <c r="I43" i="59"/>
  <c r="I49" i="59" s="1"/>
  <c r="I55" i="59" s="1"/>
  <c r="I90" i="59" s="1"/>
  <c r="I42" i="59"/>
  <c r="I48" i="59" s="1"/>
  <c r="I54" i="59" s="1"/>
  <c r="I132" i="59" s="1"/>
  <c r="I133" i="59" s="1"/>
  <c r="H45" i="59"/>
  <c r="H44" i="59"/>
  <c r="H43" i="59"/>
  <c r="H49" i="59" s="1"/>
  <c r="H55" i="59" s="1"/>
  <c r="H90" i="59" s="1"/>
  <c r="H42" i="59"/>
  <c r="H48" i="59" s="1"/>
  <c r="H54" i="59" s="1"/>
  <c r="H132" i="59" s="1"/>
  <c r="H133" i="59" s="1"/>
  <c r="G45" i="59"/>
  <c r="G51" i="59" s="1"/>
  <c r="G57" i="59" s="1"/>
  <c r="G92" i="59" s="1"/>
  <c r="G44" i="59"/>
  <c r="G43" i="59"/>
  <c r="G49" i="59" s="1"/>
  <c r="G55" i="59" s="1"/>
  <c r="G90" i="59" s="1"/>
  <c r="G42" i="59"/>
  <c r="G48" i="59" s="1"/>
  <c r="G54" i="59" s="1"/>
  <c r="G132" i="59" s="1"/>
  <c r="G133" i="59" s="1"/>
  <c r="J51" i="59"/>
  <c r="J57" i="59" s="1"/>
  <c r="J92" i="59" s="1"/>
  <c r="H51" i="59"/>
  <c r="H57" i="59" s="1"/>
  <c r="H92" i="59" s="1"/>
  <c r="F45" i="59"/>
  <c r="F51" i="59" s="1"/>
  <c r="F57" i="59" s="1"/>
  <c r="F92" i="59" s="1"/>
  <c r="F44" i="59"/>
  <c r="F43" i="59"/>
  <c r="F49" i="59" s="1"/>
  <c r="F55" i="59" s="1"/>
  <c r="F90" i="59" s="1"/>
  <c r="F42" i="59"/>
  <c r="F48" i="59" s="1"/>
  <c r="F54" i="59" s="1"/>
  <c r="F132" i="59" s="1"/>
  <c r="F133" i="59" s="1"/>
  <c r="J89" i="59" l="1"/>
  <c r="H89" i="59"/>
  <c r="F89" i="59"/>
  <c r="G89" i="59"/>
  <c r="I89" i="59"/>
  <c r="I67" i="59" l="1"/>
  <c r="I97" i="59" s="1"/>
  <c r="E45" i="74" l="1"/>
  <c r="E47" i="74" s="1"/>
  <c r="M69" i="74"/>
  <c r="L69" i="74"/>
  <c r="M58" i="74"/>
  <c r="L58" i="74"/>
  <c r="M47" i="74"/>
  <c r="L47" i="74"/>
  <c r="M36" i="74"/>
  <c r="L36" i="74"/>
  <c r="I63" i="73"/>
  <c r="I67" i="74" s="1"/>
  <c r="I69" i="74" s="1"/>
  <c r="H63" i="73"/>
  <c r="H67" i="74" s="1"/>
  <c r="H69" i="74" s="1"/>
  <c r="F63" i="73"/>
  <c r="F67" i="74" s="1"/>
  <c r="F69" i="74" s="1"/>
  <c r="E63" i="73"/>
  <c r="E67" i="74" s="1"/>
  <c r="E69" i="74" s="1"/>
  <c r="I53" i="73"/>
  <c r="I56" i="74" s="1"/>
  <c r="I58" i="74" s="1"/>
  <c r="H53" i="73"/>
  <c r="H56" i="74" s="1"/>
  <c r="H58" i="74" s="1"/>
  <c r="F53" i="73"/>
  <c r="F56" i="74" s="1"/>
  <c r="F58" i="74" s="1"/>
  <c r="E53" i="73"/>
  <c r="E56" i="74" s="1"/>
  <c r="E58" i="74" s="1"/>
  <c r="I43" i="73"/>
  <c r="I45" i="74" s="1"/>
  <c r="I47" i="74" s="1"/>
  <c r="H43" i="73"/>
  <c r="H45" i="74" s="1"/>
  <c r="H47" i="74" s="1"/>
  <c r="F43" i="73"/>
  <c r="F45" i="74" s="1"/>
  <c r="F47" i="74" s="1"/>
  <c r="E43" i="73"/>
  <c r="I33" i="73"/>
  <c r="I34" i="74" s="1"/>
  <c r="I36" i="74" s="1"/>
  <c r="H33" i="73"/>
  <c r="H34" i="74" s="1"/>
  <c r="H36" i="74" s="1"/>
  <c r="F33" i="73"/>
  <c r="F34" i="74" s="1"/>
  <c r="F36" i="74" s="1"/>
  <c r="E33" i="73"/>
  <c r="E34" i="74" s="1"/>
  <c r="E36" i="74" s="1"/>
  <c r="M59" i="72"/>
  <c r="L59" i="72"/>
  <c r="M50" i="72"/>
  <c r="L50" i="72"/>
  <c r="M41" i="72"/>
  <c r="L41" i="72"/>
  <c r="M32" i="72"/>
  <c r="L32" i="72"/>
  <c r="O50" i="71"/>
  <c r="O42" i="71"/>
  <c r="O34" i="71"/>
  <c r="O26" i="71"/>
  <c r="F15" i="55"/>
  <c r="G15" i="55"/>
  <c r="H15" i="55"/>
  <c r="I15" i="55"/>
  <c r="AF49" i="70"/>
  <c r="AE49" i="70"/>
  <c r="AD49" i="70"/>
  <c r="AA49" i="70"/>
  <c r="Z49" i="70"/>
  <c r="Y49" i="70"/>
  <c r="V49" i="70"/>
  <c r="U49" i="70"/>
  <c r="T49" i="70"/>
  <c r="Q49" i="70"/>
  <c r="P49" i="70"/>
  <c r="O49" i="70"/>
  <c r="AF35" i="70"/>
  <c r="AE35" i="70"/>
  <c r="AA35" i="70"/>
  <c r="Z35" i="70"/>
  <c r="V35" i="70"/>
  <c r="U35" i="70"/>
  <c r="Q35" i="70"/>
  <c r="P35" i="70"/>
  <c r="AF20" i="70"/>
  <c r="AE20" i="70"/>
  <c r="AD20" i="70"/>
  <c r="AA20" i="70"/>
  <c r="Z20" i="70"/>
  <c r="Y20" i="70"/>
  <c r="V20" i="70"/>
  <c r="U20" i="70"/>
  <c r="T20" i="70"/>
  <c r="Q20" i="70"/>
  <c r="P20" i="70"/>
  <c r="O20" i="70"/>
  <c r="I8" i="55"/>
  <c r="I9" i="55" s="1"/>
  <c r="H8" i="55"/>
  <c r="H9" i="55" s="1"/>
  <c r="G8" i="55"/>
  <c r="G9" i="55" s="1"/>
  <c r="F8" i="55"/>
  <c r="F9" i="55" s="1"/>
  <c r="J10" i="65"/>
  <c r="J40" i="61" s="1"/>
  <c r="I10" i="65"/>
  <c r="I40" i="61" s="1"/>
  <c r="H10" i="65"/>
  <c r="H40" i="61" s="1"/>
  <c r="G10" i="65"/>
  <c r="G40" i="61" s="1"/>
  <c r="J37" i="61"/>
  <c r="I37" i="61"/>
  <c r="H37" i="61"/>
  <c r="G37" i="61"/>
  <c r="J36" i="61"/>
  <c r="I36" i="61"/>
  <c r="H36" i="61"/>
  <c r="G36" i="61"/>
  <c r="G50" i="59"/>
  <c r="G56" i="59" s="1"/>
  <c r="G91" i="59" s="1"/>
  <c r="H50" i="59"/>
  <c r="H56" i="59" s="1"/>
  <c r="H91" i="59" s="1"/>
  <c r="I50" i="59"/>
  <c r="I56" i="59" s="1"/>
  <c r="I91" i="59" s="1"/>
  <c r="J50" i="59"/>
  <c r="J56" i="59" s="1"/>
  <c r="J91" i="59" s="1"/>
  <c r="G54" i="81"/>
  <c r="G38" i="59" s="1"/>
  <c r="G20" i="60" s="1"/>
  <c r="H37" i="59"/>
  <c r="I37" i="59"/>
  <c r="J37" i="59"/>
  <c r="G36" i="81"/>
  <c r="G28" i="59" s="1"/>
  <c r="H26" i="59"/>
  <c r="I26" i="59"/>
  <c r="J26" i="59"/>
  <c r="G35" i="81"/>
  <c r="G27" i="59" s="1"/>
  <c r="H35" i="81"/>
  <c r="H27" i="59" s="1"/>
  <c r="I25" i="59"/>
  <c r="J35" i="81"/>
  <c r="J27" i="59" s="1"/>
  <c r="J23" i="60"/>
  <c r="I23" i="60"/>
  <c r="H23" i="60"/>
  <c r="G23" i="60"/>
  <c r="K20" i="60"/>
  <c r="K18" i="60"/>
  <c r="J18" i="60"/>
  <c r="I18" i="60"/>
  <c r="H18" i="60"/>
  <c r="G18" i="60"/>
  <c r="J21" i="59"/>
  <c r="I21" i="59"/>
  <c r="H21" i="59"/>
  <c r="G21" i="59"/>
  <c r="J20" i="59"/>
  <c r="I20" i="59"/>
  <c r="H20" i="59"/>
  <c r="G20" i="59"/>
  <c r="J12" i="59"/>
  <c r="I12" i="59"/>
  <c r="H12" i="59"/>
  <c r="G12" i="59"/>
  <c r="J11" i="59"/>
  <c r="I21" i="66" s="1"/>
  <c r="I11" i="59"/>
  <c r="H21" i="66" s="1"/>
  <c r="H11" i="59"/>
  <c r="G21" i="66" s="1"/>
  <c r="G11" i="59"/>
  <c r="F21" i="66" s="1"/>
  <c r="F17" i="55" l="1"/>
  <c r="G17" i="55"/>
  <c r="I17" i="55"/>
  <c r="H17" i="55"/>
  <c r="I28" i="66"/>
  <c r="J9" i="65" s="1"/>
  <c r="J16" i="65" s="1"/>
  <c r="F28" i="66"/>
  <c r="G9" i="65" s="1"/>
  <c r="G16" i="65" s="1"/>
  <c r="G28" i="66"/>
  <c r="H9" i="65" s="1"/>
  <c r="H25" i="61" s="1"/>
  <c r="H28" i="66"/>
  <c r="I9" i="65" s="1"/>
  <c r="I25" i="61" s="1"/>
  <c r="H54" i="81"/>
  <c r="H38" i="59" s="1"/>
  <c r="H20" i="60" s="1"/>
  <c r="I25" i="71"/>
  <c r="I27" i="71" s="1"/>
  <c r="G37" i="59"/>
  <c r="G25" i="71"/>
  <c r="G27" i="71" s="1"/>
  <c r="H25" i="71"/>
  <c r="H27" i="71" s="1"/>
  <c r="G25" i="61"/>
  <c r="L25" i="71"/>
  <c r="L27" i="71" s="1"/>
  <c r="K25" i="71"/>
  <c r="K27" i="71" s="1"/>
  <c r="G25" i="59"/>
  <c r="M25" i="71"/>
  <c r="M27" i="71" s="1"/>
  <c r="J25" i="71"/>
  <c r="J27" i="71" s="1"/>
  <c r="N25" i="71"/>
  <c r="N27" i="71" s="1"/>
  <c r="C25" i="71"/>
  <c r="C27" i="71" s="1"/>
  <c r="I54" i="81"/>
  <c r="I38" i="59" s="1"/>
  <c r="I20" i="60" s="1"/>
  <c r="E25" i="71"/>
  <c r="E27" i="71" s="1"/>
  <c r="D25" i="71"/>
  <c r="D27" i="71" s="1"/>
  <c r="F25" i="71"/>
  <c r="F27" i="71" s="1"/>
  <c r="I36" i="81"/>
  <c r="J54" i="81"/>
  <c r="J38" i="59" s="1"/>
  <c r="J20" i="60" s="1"/>
  <c r="H36" i="81"/>
  <c r="J36" i="81"/>
  <c r="J25" i="59"/>
  <c r="G26" i="59"/>
  <c r="H25" i="59"/>
  <c r="I35" i="81"/>
  <c r="I27" i="59" s="1"/>
  <c r="J37" i="81"/>
  <c r="J29" i="59" s="1"/>
  <c r="J23" i="59"/>
  <c r="J145" i="59" s="1"/>
  <c r="J154" i="59" s="1"/>
  <c r="J157" i="59" s="1"/>
  <c r="J159" i="59" s="1"/>
  <c r="J25" i="61" l="1"/>
  <c r="H16" i="65"/>
  <c r="I16" i="65"/>
  <c r="J28" i="59"/>
  <c r="E49" i="71"/>
  <c r="E51" i="71" s="1"/>
  <c r="D49" i="71"/>
  <c r="D51" i="71" s="1"/>
  <c r="C49" i="71"/>
  <c r="G49" i="71"/>
  <c r="G51" i="71" s="1"/>
  <c r="N49" i="71"/>
  <c r="N51" i="71" s="1"/>
  <c r="F49" i="71"/>
  <c r="F51" i="71" s="1"/>
  <c r="M49" i="71"/>
  <c r="M51" i="71" s="1"/>
  <c r="I49" i="71"/>
  <c r="I51" i="71" s="1"/>
  <c r="H49" i="71"/>
  <c r="H51" i="71" s="1"/>
  <c r="L49" i="71"/>
  <c r="L51" i="71" s="1"/>
  <c r="J49" i="71"/>
  <c r="J51" i="71" s="1"/>
  <c r="K49" i="71"/>
  <c r="K51" i="71" s="1"/>
  <c r="H28" i="59"/>
  <c r="F33" i="71"/>
  <c r="F35" i="71" s="1"/>
  <c r="G33" i="71"/>
  <c r="G35" i="71" s="1"/>
  <c r="E33" i="71"/>
  <c r="E35" i="71" s="1"/>
  <c r="D33" i="71"/>
  <c r="D35" i="71" s="1"/>
  <c r="M33" i="71"/>
  <c r="M35" i="71" s="1"/>
  <c r="C33" i="71"/>
  <c r="N33" i="71"/>
  <c r="N35" i="71" s="1"/>
  <c r="K33" i="71"/>
  <c r="K35" i="71" s="1"/>
  <c r="J33" i="71"/>
  <c r="J35" i="71" s="1"/>
  <c r="L33" i="71"/>
  <c r="L35" i="71" s="1"/>
  <c r="I33" i="71"/>
  <c r="I35" i="71" s="1"/>
  <c r="H33" i="71"/>
  <c r="H35" i="71" s="1"/>
  <c r="O25" i="71"/>
  <c r="O27" i="71" s="1"/>
  <c r="G30" i="72" s="1"/>
  <c r="I28" i="59"/>
  <c r="E41" i="71"/>
  <c r="E43" i="71" s="1"/>
  <c r="C41" i="71"/>
  <c r="D41" i="71"/>
  <c r="D43" i="71" s="1"/>
  <c r="G41" i="71"/>
  <c r="G43" i="71" s="1"/>
  <c r="F41" i="71"/>
  <c r="F43" i="71" s="1"/>
  <c r="N41" i="71"/>
  <c r="N43" i="71" s="1"/>
  <c r="M41" i="71"/>
  <c r="M43" i="71" s="1"/>
  <c r="J41" i="71"/>
  <c r="J43" i="71" s="1"/>
  <c r="H41" i="71"/>
  <c r="H43" i="71" s="1"/>
  <c r="L41" i="71"/>
  <c r="L43" i="71" s="1"/>
  <c r="K41" i="71"/>
  <c r="K43" i="71" s="1"/>
  <c r="I41" i="71"/>
  <c r="I43" i="71" s="1"/>
  <c r="J38" i="81"/>
  <c r="I23" i="59"/>
  <c r="I145" i="59" s="1"/>
  <c r="I154" i="59" s="1"/>
  <c r="I157" i="59" s="1"/>
  <c r="I159" i="59" s="1"/>
  <c r="I38" i="81"/>
  <c r="I37" i="81"/>
  <c r="I29" i="59" s="1"/>
  <c r="H38" i="81"/>
  <c r="H37" i="81"/>
  <c r="H29" i="59" s="1"/>
  <c r="H23" i="59"/>
  <c r="H145" i="59" s="1"/>
  <c r="H154" i="59" s="1"/>
  <c r="H157" i="59" s="1"/>
  <c r="H159" i="59" s="1"/>
  <c r="G38" i="81"/>
  <c r="G23" i="59"/>
  <c r="G145" i="59" s="1"/>
  <c r="G154" i="59" s="1"/>
  <c r="G157" i="59" s="1"/>
  <c r="G159" i="59" s="1"/>
  <c r="G37" i="81"/>
  <c r="G29" i="59" s="1"/>
  <c r="I30" i="59" l="1"/>
  <c r="I41" i="81"/>
  <c r="I31" i="59" s="1"/>
  <c r="I17" i="61" s="1"/>
  <c r="J30" i="59"/>
  <c r="J41" i="81"/>
  <c r="J31" i="59" s="1"/>
  <c r="J17" i="61" s="1"/>
  <c r="H30" i="59"/>
  <c r="H41" i="81"/>
  <c r="H31" i="59" s="1"/>
  <c r="G30" i="59"/>
  <c r="G41" i="81"/>
  <c r="G31" i="59" s="1"/>
  <c r="G17" i="61" s="1"/>
  <c r="G32" i="72"/>
  <c r="G33" i="73"/>
  <c r="G34" i="74" s="1"/>
  <c r="G36" i="74" s="1"/>
  <c r="C35" i="71"/>
  <c r="O33" i="71"/>
  <c r="O35" i="71" s="1"/>
  <c r="G39" i="72" s="1"/>
  <c r="O49" i="71"/>
  <c r="O51" i="71" s="1"/>
  <c r="G57" i="72" s="1"/>
  <c r="C51" i="71"/>
  <c r="C43" i="71"/>
  <c r="O41" i="71"/>
  <c r="O43" i="71" s="1"/>
  <c r="G48" i="72" s="1"/>
  <c r="J15" i="81"/>
  <c r="J13" i="59" s="1"/>
  <c r="I15" i="81"/>
  <c r="I13" i="59" s="1"/>
  <c r="H15" i="81"/>
  <c r="H13" i="59" s="1"/>
  <c r="G15" i="81"/>
  <c r="G13" i="59" s="1"/>
  <c r="H17" i="61" l="1"/>
  <c r="G53" i="73"/>
  <c r="G56" i="74" s="1"/>
  <c r="G58" i="74" s="1"/>
  <c r="G50" i="72"/>
  <c r="G63" i="73"/>
  <c r="G67" i="74" s="1"/>
  <c r="G69" i="74" s="1"/>
  <c r="G59" i="72"/>
  <c r="G41" i="72"/>
  <c r="G43" i="73"/>
  <c r="G45" i="74" s="1"/>
  <c r="G47" i="74" s="1"/>
  <c r="I8" i="75"/>
  <c r="H8" i="75"/>
  <c r="G8" i="75"/>
  <c r="F8" i="75"/>
  <c r="I7" i="75"/>
  <c r="H7" i="75"/>
  <c r="G7" i="75"/>
  <c r="F7" i="75"/>
  <c r="I8" i="77"/>
  <c r="H8" i="77"/>
  <c r="G8" i="77"/>
  <c r="F8" i="77"/>
  <c r="I7" i="77"/>
  <c r="H7" i="77"/>
  <c r="G7" i="77"/>
  <c r="F7" i="77"/>
  <c r="I6" i="55"/>
  <c r="H6" i="55"/>
  <c r="G6" i="55"/>
  <c r="F6" i="55"/>
  <c r="I5" i="55"/>
  <c r="H5" i="55"/>
  <c r="G5" i="55"/>
  <c r="F5" i="55"/>
  <c r="I72" i="54"/>
  <c r="H72" i="54"/>
  <c r="G72" i="54"/>
  <c r="F72" i="54"/>
  <c r="I71" i="54"/>
  <c r="H71" i="54"/>
  <c r="G71" i="54"/>
  <c r="F71" i="54"/>
  <c r="I29" i="54"/>
  <c r="H29" i="54"/>
  <c r="G29" i="54"/>
  <c r="F29" i="54"/>
  <c r="I28" i="54"/>
  <c r="H28" i="54"/>
  <c r="G28" i="54"/>
  <c r="F28" i="54"/>
  <c r="I11" i="54"/>
  <c r="H11" i="54"/>
  <c r="G11" i="54"/>
  <c r="F11" i="54"/>
  <c r="I10" i="54"/>
  <c r="H10" i="54"/>
  <c r="G10" i="54"/>
  <c r="F10" i="54"/>
  <c r="I8" i="93"/>
  <c r="H8" i="93"/>
  <c r="G8" i="93"/>
  <c r="F8" i="93"/>
  <c r="I7" i="93"/>
  <c r="H7" i="93"/>
  <c r="G7" i="93"/>
  <c r="F7" i="93"/>
  <c r="I8" i="69"/>
  <c r="H8" i="69"/>
  <c r="G8" i="69"/>
  <c r="F8" i="69"/>
  <c r="I7" i="69"/>
  <c r="H7" i="69"/>
  <c r="G7" i="69"/>
  <c r="F7" i="69"/>
  <c r="I8" i="68"/>
  <c r="H8" i="68"/>
  <c r="G8" i="68"/>
  <c r="F8" i="68"/>
  <c r="I7" i="68"/>
  <c r="H7" i="68"/>
  <c r="G7" i="68"/>
  <c r="F7" i="68"/>
  <c r="I9" i="67"/>
  <c r="H9" i="67"/>
  <c r="G9" i="67"/>
  <c r="F9" i="67"/>
  <c r="I8" i="67"/>
  <c r="H8" i="67"/>
  <c r="G8" i="67"/>
  <c r="F8" i="67"/>
  <c r="I9" i="66"/>
  <c r="H9" i="66"/>
  <c r="G9" i="66"/>
  <c r="F9" i="66"/>
  <c r="I8" i="66"/>
  <c r="H8" i="66"/>
  <c r="G8" i="66"/>
  <c r="F8" i="66"/>
  <c r="J8" i="65"/>
  <c r="I8" i="65"/>
  <c r="H8" i="65"/>
  <c r="G8" i="65"/>
  <c r="J7" i="65"/>
  <c r="I7" i="65"/>
  <c r="H7" i="65"/>
  <c r="G7" i="65"/>
  <c r="I8" i="64"/>
  <c r="H8" i="64"/>
  <c r="G8" i="64"/>
  <c r="F8" i="64"/>
  <c r="I7" i="64"/>
  <c r="H7" i="64"/>
  <c r="G7" i="64"/>
  <c r="F7" i="64"/>
  <c r="J8" i="63"/>
  <c r="I8" i="63"/>
  <c r="H8" i="63"/>
  <c r="G8" i="63"/>
  <c r="J7" i="63"/>
  <c r="I7" i="63"/>
  <c r="H7" i="63"/>
  <c r="G7" i="63"/>
  <c r="J8" i="79"/>
  <c r="I8" i="79"/>
  <c r="H8" i="79"/>
  <c r="G8" i="79"/>
  <c r="J7" i="79"/>
  <c r="I7" i="79"/>
  <c r="H7" i="79"/>
  <c r="G7" i="79"/>
  <c r="J9" i="62"/>
  <c r="I9" i="62"/>
  <c r="H9" i="62"/>
  <c r="G9" i="62"/>
  <c r="J8" i="62"/>
  <c r="I8" i="62"/>
  <c r="H8" i="62"/>
  <c r="G8" i="62"/>
  <c r="J8" i="61"/>
  <c r="I8" i="61"/>
  <c r="H8" i="61"/>
  <c r="G8" i="61"/>
  <c r="J7" i="61"/>
  <c r="I7" i="61"/>
  <c r="H7" i="61"/>
  <c r="G7" i="61"/>
  <c r="J8" i="60"/>
  <c r="I8" i="60"/>
  <c r="H8" i="60"/>
  <c r="G8" i="60"/>
  <c r="J7" i="60"/>
  <c r="I7" i="60"/>
  <c r="H7" i="60"/>
  <c r="G7" i="60"/>
  <c r="J8" i="59"/>
  <c r="I8" i="59"/>
  <c r="H8" i="59"/>
  <c r="G8" i="59"/>
  <c r="J9" i="76" l="1"/>
  <c r="I9" i="76"/>
  <c r="H9" i="76"/>
  <c r="G9" i="76"/>
  <c r="F9" i="76"/>
  <c r="E9" i="76"/>
  <c r="E7" i="75"/>
  <c r="D7" i="75"/>
  <c r="E7" i="77"/>
  <c r="D7" i="77"/>
  <c r="E5" i="55"/>
  <c r="D5" i="55"/>
  <c r="E28" i="54"/>
  <c r="D28" i="54"/>
  <c r="E10" i="54"/>
  <c r="D10" i="54"/>
  <c r="E7" i="93"/>
  <c r="D7" i="93"/>
  <c r="E7" i="69"/>
  <c r="D7" i="69"/>
  <c r="E7" i="68"/>
  <c r="D7" i="68"/>
  <c r="E8" i="67"/>
  <c r="D8" i="67"/>
  <c r="E8" i="66"/>
  <c r="D8" i="66"/>
  <c r="F7" i="65"/>
  <c r="E7" i="65"/>
  <c r="E7" i="64"/>
  <c r="D7" i="64"/>
  <c r="F7" i="63"/>
  <c r="E7" i="63"/>
  <c r="F7" i="79"/>
  <c r="E7" i="79"/>
  <c r="F8" i="62"/>
  <c r="E8" i="62"/>
  <c r="F7" i="61"/>
  <c r="E7" i="61"/>
  <c r="F7" i="60"/>
  <c r="E7" i="60"/>
  <c r="J7" i="59"/>
  <c r="J128" i="59" s="1"/>
  <c r="I7" i="59"/>
  <c r="I128" i="59" s="1"/>
  <c r="H7" i="59"/>
  <c r="H128" i="59" s="1"/>
  <c r="G7" i="59"/>
  <c r="G128" i="59" s="1"/>
  <c r="F7" i="59"/>
  <c r="F128" i="59" s="1"/>
  <c r="E7" i="59"/>
  <c r="E128" i="59" s="1"/>
  <c r="J119" i="59"/>
  <c r="I119" i="59"/>
  <c r="H119" i="59"/>
  <c r="G119" i="59"/>
  <c r="J22" i="61"/>
  <c r="I22" i="61"/>
  <c r="H22" i="61"/>
  <c r="G22" i="61"/>
  <c r="J96" i="59"/>
  <c r="I96" i="59"/>
  <c r="H96" i="59"/>
  <c r="G96" i="59"/>
  <c r="J93" i="59"/>
  <c r="I93" i="59"/>
  <c r="H93" i="59"/>
  <c r="G93" i="59"/>
  <c r="J21" i="58"/>
  <c r="I21" i="58"/>
  <c r="H21" i="58"/>
  <c r="G21" i="58"/>
  <c r="J17" i="58"/>
  <c r="I17" i="58"/>
  <c r="H17" i="58"/>
  <c r="G17" i="58"/>
  <c r="J12" i="58"/>
  <c r="I12" i="58"/>
  <c r="H12" i="58"/>
  <c r="G12" i="58"/>
  <c r="J11" i="58"/>
  <c r="I11" i="58"/>
  <c r="H11" i="58"/>
  <c r="G11" i="58"/>
  <c r="H8" i="80"/>
  <c r="G8" i="80"/>
  <c r="F8" i="80"/>
  <c r="E8" i="80"/>
  <c r="D8" i="80"/>
  <c r="C8" i="80"/>
  <c r="E7" i="80"/>
  <c r="F7" i="80"/>
  <c r="G7" i="80"/>
  <c r="H7" i="80"/>
  <c r="G19" i="61" l="1"/>
  <c r="G18" i="61"/>
  <c r="H19" i="61"/>
  <c r="H18" i="61"/>
  <c r="I19" i="61"/>
  <c r="I18" i="61"/>
  <c r="J19" i="61"/>
  <c r="J18" i="61"/>
  <c r="H102" i="59"/>
  <c r="H121" i="59" s="1"/>
  <c r="H123" i="59" s="1"/>
  <c r="J102" i="59"/>
  <c r="J121" i="59" s="1"/>
  <c r="J9" i="58" s="1"/>
  <c r="I102" i="59"/>
  <c r="I121" i="59" s="1"/>
  <c r="I123" i="59" s="1"/>
  <c r="G102" i="59"/>
  <c r="G121" i="59" s="1"/>
  <c r="G123" i="59" s="1"/>
  <c r="F32" i="61"/>
  <c r="G32" i="61" s="1"/>
  <c r="L35" i="70"/>
  <c r="K35" i="70"/>
  <c r="G35" i="70"/>
  <c r="F35" i="70"/>
  <c r="H32" i="61" l="1"/>
  <c r="G43" i="61"/>
  <c r="E11" i="80"/>
  <c r="D30" i="72"/>
  <c r="G11" i="80"/>
  <c r="D48" i="72"/>
  <c r="F11" i="80"/>
  <c r="D39" i="72"/>
  <c r="G9" i="58"/>
  <c r="I9" i="58"/>
  <c r="H9" i="58"/>
  <c r="J123" i="59"/>
  <c r="M25" i="74"/>
  <c r="L25" i="74"/>
  <c r="M14" i="74"/>
  <c r="L14" i="74"/>
  <c r="E23" i="74"/>
  <c r="E25" i="74" s="1"/>
  <c r="I23" i="74"/>
  <c r="I25" i="74" s="1"/>
  <c r="I12" i="74"/>
  <c r="I14" i="74" s="1"/>
  <c r="H23" i="73"/>
  <c r="H23" i="74" s="1"/>
  <c r="H25" i="74" s="1"/>
  <c r="I23" i="73"/>
  <c r="E23" i="73"/>
  <c r="F23" i="73"/>
  <c r="F23" i="74" s="1"/>
  <c r="F25" i="74" s="1"/>
  <c r="H12" i="73"/>
  <c r="H12" i="74" s="1"/>
  <c r="H14" i="74" s="1"/>
  <c r="F12" i="73"/>
  <c r="F12" i="74" s="1"/>
  <c r="F14" i="74" s="1"/>
  <c r="E12" i="73"/>
  <c r="E12" i="74" s="1"/>
  <c r="E14" i="74" s="1"/>
  <c r="B10" i="65"/>
  <c r="B12" i="65" s="1"/>
  <c r="B14" i="65" s="1"/>
  <c r="B16" i="65" s="1"/>
  <c r="B11" i="65"/>
  <c r="B13" i="65" s="1"/>
  <c r="B15" i="65" s="1"/>
  <c r="F43" i="61"/>
  <c r="E43" i="61"/>
  <c r="B39" i="61"/>
  <c r="B40" i="61" s="1"/>
  <c r="B41" i="61" s="1"/>
  <c r="B42" i="61" s="1"/>
  <c r="B43" i="61" s="1"/>
  <c r="B44" i="61" s="1"/>
  <c r="I32" i="61" l="1"/>
  <c r="H43" i="61"/>
  <c r="H11" i="80"/>
  <c r="D57" i="72"/>
  <c r="D43" i="73"/>
  <c r="K39" i="72"/>
  <c r="K41" i="72" s="1"/>
  <c r="D53" i="73"/>
  <c r="K48" i="72"/>
  <c r="K50" i="72" s="1"/>
  <c r="D33" i="73"/>
  <c r="K30" i="72"/>
  <c r="K32" i="72" s="1"/>
  <c r="F9" i="61"/>
  <c r="G9" i="61" s="1"/>
  <c r="H9" i="61" s="1"/>
  <c r="I9" i="61" s="1"/>
  <c r="J9" i="61" s="1"/>
  <c r="E23" i="75"/>
  <c r="D23" i="75"/>
  <c r="M23" i="72"/>
  <c r="L23" i="72"/>
  <c r="M14" i="72"/>
  <c r="L14" i="72"/>
  <c r="O18" i="71"/>
  <c r="O10" i="71"/>
  <c r="M11" i="71"/>
  <c r="L11" i="71"/>
  <c r="K11" i="71"/>
  <c r="J11" i="71"/>
  <c r="I11" i="71"/>
  <c r="H11" i="71"/>
  <c r="G11" i="71"/>
  <c r="F11" i="71"/>
  <c r="E11" i="71"/>
  <c r="D11" i="71"/>
  <c r="C11" i="71"/>
  <c r="E15" i="55"/>
  <c r="D15" i="55"/>
  <c r="L49" i="70"/>
  <c r="K49" i="70"/>
  <c r="J49" i="70"/>
  <c r="G43" i="70"/>
  <c r="G49" i="70" s="1"/>
  <c r="F43" i="70"/>
  <c r="F49" i="70" s="1"/>
  <c r="D43" i="70"/>
  <c r="D49" i="70" s="1"/>
  <c r="D35" i="70"/>
  <c r="L20" i="70"/>
  <c r="K20" i="70"/>
  <c r="J20" i="70"/>
  <c r="G20" i="70"/>
  <c r="F20" i="70"/>
  <c r="D20" i="70"/>
  <c r="H19" i="70"/>
  <c r="I19" i="70" s="1"/>
  <c r="M19" i="70" s="1"/>
  <c r="N19" i="70" s="1"/>
  <c r="R19" i="70" s="1"/>
  <c r="S19" i="70" s="1"/>
  <c r="W19" i="70" s="1"/>
  <c r="X19" i="70" s="1"/>
  <c r="AB19" i="70" s="1"/>
  <c r="AC19" i="70" s="1"/>
  <c r="AG19" i="70" s="1"/>
  <c r="H18" i="70"/>
  <c r="I18" i="70" s="1"/>
  <c r="M18" i="70" s="1"/>
  <c r="N18" i="70" s="1"/>
  <c r="R18" i="70" s="1"/>
  <c r="S18" i="70" s="1"/>
  <c r="W18" i="70" s="1"/>
  <c r="X18" i="70" s="1"/>
  <c r="AB18" i="70" s="1"/>
  <c r="AC18" i="70" s="1"/>
  <c r="AG18" i="70" s="1"/>
  <c r="H17" i="70"/>
  <c r="I17" i="70" s="1"/>
  <c r="M17" i="70" s="1"/>
  <c r="N17" i="70" s="1"/>
  <c r="R17" i="70" s="1"/>
  <c r="S17" i="70" s="1"/>
  <c r="W17" i="70" s="1"/>
  <c r="X17" i="70" s="1"/>
  <c r="AB17" i="70" s="1"/>
  <c r="AC17" i="70" s="1"/>
  <c r="AG17" i="70" s="1"/>
  <c r="H16" i="70"/>
  <c r="I16" i="70" s="1"/>
  <c r="M16" i="70" s="1"/>
  <c r="N16" i="70" s="1"/>
  <c r="R16" i="70" s="1"/>
  <c r="S16" i="70" s="1"/>
  <c r="W16" i="70" s="1"/>
  <c r="X16" i="70" s="1"/>
  <c r="AB16" i="70" s="1"/>
  <c r="AC16" i="70" s="1"/>
  <c r="AG16" i="70" s="1"/>
  <c r="H15" i="70"/>
  <c r="I15" i="70" s="1"/>
  <c r="M15" i="70" s="1"/>
  <c r="N15" i="70" s="1"/>
  <c r="R15" i="70" s="1"/>
  <c r="S15" i="70" s="1"/>
  <c r="W15" i="70" s="1"/>
  <c r="X15" i="70" s="1"/>
  <c r="AB15" i="70" s="1"/>
  <c r="AC15" i="70" s="1"/>
  <c r="AG15" i="70" s="1"/>
  <c r="H14" i="70"/>
  <c r="I14" i="70" s="1"/>
  <c r="M14" i="70" s="1"/>
  <c r="N14" i="70" s="1"/>
  <c r="R14" i="70" s="1"/>
  <c r="S14" i="70" s="1"/>
  <c r="W14" i="70" s="1"/>
  <c r="X14" i="70" s="1"/>
  <c r="AB14" i="70" s="1"/>
  <c r="AC14" i="70" s="1"/>
  <c r="AG14" i="70" s="1"/>
  <c r="E8" i="55"/>
  <c r="E9" i="55" s="1"/>
  <c r="F10" i="65"/>
  <c r="E10" i="65"/>
  <c r="E17" i="55" l="1"/>
  <c r="J32" i="61"/>
  <c r="J43" i="61" s="1"/>
  <c r="I43" i="61"/>
  <c r="D34" i="74"/>
  <c r="K34" i="74" s="1"/>
  <c r="K36" i="74" s="1"/>
  <c r="K33" i="73"/>
  <c r="D56" i="74"/>
  <c r="K56" i="74" s="1"/>
  <c r="K58" i="74" s="1"/>
  <c r="K53" i="73"/>
  <c r="D45" i="74"/>
  <c r="K45" i="74" s="1"/>
  <c r="K47" i="74" s="1"/>
  <c r="K43" i="73"/>
  <c r="D63" i="73"/>
  <c r="K57" i="72"/>
  <c r="K59" i="72" s="1"/>
  <c r="E40" i="61"/>
  <c r="E12" i="58"/>
  <c r="F12" i="58"/>
  <c r="F40" i="61"/>
  <c r="D67" i="74" l="1"/>
  <c r="K67" i="74" s="1"/>
  <c r="K69" i="74" s="1"/>
  <c r="K63" i="73"/>
  <c r="F50" i="59"/>
  <c r="F56" i="59" s="1"/>
  <c r="F91" i="59" s="1"/>
  <c r="E50" i="59"/>
  <c r="E56" i="59" s="1"/>
  <c r="F54" i="81"/>
  <c r="E54" i="81"/>
  <c r="F35" i="81"/>
  <c r="F50" i="81" l="1"/>
  <c r="E50" i="81"/>
  <c r="G50" i="81" l="1"/>
  <c r="G36" i="59" s="1"/>
  <c r="G35" i="59"/>
  <c r="F21" i="58"/>
  <c r="E21" i="58"/>
  <c r="F17" i="58"/>
  <c r="E17" i="58"/>
  <c r="H50" i="81" l="1"/>
  <c r="H36" i="59" s="1"/>
  <c r="H35" i="59"/>
  <c r="F18" i="60"/>
  <c r="E18" i="60"/>
  <c r="F119" i="59"/>
  <c r="E119" i="59"/>
  <c r="F25" i="59"/>
  <c r="E25" i="59"/>
  <c r="E38" i="59"/>
  <c r="E20" i="60" s="1"/>
  <c r="F36" i="59"/>
  <c r="E36" i="59"/>
  <c r="F35" i="59"/>
  <c r="F27" i="59"/>
  <c r="E27" i="59"/>
  <c r="F20" i="59"/>
  <c r="F38" i="59"/>
  <c r="F20" i="60" s="1"/>
  <c r="F37" i="59"/>
  <c r="E37" i="59"/>
  <c r="E35" i="59"/>
  <c r="E20" i="59"/>
  <c r="I35" i="59" l="1"/>
  <c r="I50" i="81"/>
  <c r="I36" i="59" s="1"/>
  <c r="B11" i="76"/>
  <c r="B12" i="76" s="1"/>
  <c r="B10" i="75"/>
  <c r="B11" i="75" s="1"/>
  <c r="B12" i="75" s="1"/>
  <c r="B13" i="75" s="1"/>
  <c r="B14" i="75" s="1"/>
  <c r="B15" i="75" s="1"/>
  <c r="B16" i="75" s="1"/>
  <c r="B17" i="75" s="1"/>
  <c r="B18" i="75" s="1"/>
  <c r="B19" i="75" s="1"/>
  <c r="B20" i="75" s="1"/>
  <c r="B21" i="75" s="1"/>
  <c r="B56" i="91"/>
  <c r="B57" i="91" s="1"/>
  <c r="B58" i="91" s="1"/>
  <c r="B59" i="91" s="1"/>
  <c r="B60" i="91" s="1"/>
  <c r="B61" i="91" s="1"/>
  <c r="B62" i="91" s="1"/>
  <c r="B63" i="91" s="1"/>
  <c r="B64" i="91" s="1"/>
  <c r="B65" i="91" s="1"/>
  <c r="B66" i="91" s="1"/>
  <c r="B67" i="91" s="1"/>
  <c r="B68" i="91" s="1"/>
  <c r="B70" i="91" s="1"/>
  <c r="B71" i="91" s="1"/>
  <c r="B44" i="91"/>
  <c r="B51" i="91" s="1"/>
  <c r="B52" i="91" s="1"/>
  <c r="B53" i="91" s="1"/>
  <c r="B23" i="91"/>
  <c r="B24" i="91" s="1"/>
  <c r="B25" i="91" s="1"/>
  <c r="B26" i="91" s="1"/>
  <c r="B27" i="91" s="1"/>
  <c r="B28" i="91" s="1"/>
  <c r="B29" i="91" s="1"/>
  <c r="B30" i="91" s="1"/>
  <c r="B31" i="91" s="1"/>
  <c r="B32" i="91" s="1"/>
  <c r="B33" i="91" s="1"/>
  <c r="B34" i="91" s="1"/>
  <c r="B35" i="91" s="1"/>
  <c r="B37" i="91" s="1"/>
  <c r="B38" i="91" s="1"/>
  <c r="B11" i="91"/>
  <c r="B18" i="91" s="1"/>
  <c r="B19" i="91" s="1"/>
  <c r="B20" i="91" s="1"/>
  <c r="B30" i="55"/>
  <c r="B27" i="55"/>
  <c r="B17" i="55"/>
  <c r="B18" i="55" s="1"/>
  <c r="B8" i="55"/>
  <c r="B9" i="55" s="1"/>
  <c r="B10" i="55" s="1"/>
  <c r="B11" i="55" s="1"/>
  <c r="B99" i="54"/>
  <c r="B100" i="54" s="1"/>
  <c r="B101" i="54" s="1"/>
  <c r="B102" i="54" s="1"/>
  <c r="B103" i="54" s="1"/>
  <c r="B104" i="54" s="1"/>
  <c r="B105" i="54" s="1"/>
  <c r="B85" i="54"/>
  <c r="B86" i="54" s="1"/>
  <c r="B87" i="54" s="1"/>
  <c r="B88" i="54" s="1"/>
  <c r="B89" i="54" s="1"/>
  <c r="B90" i="54" s="1"/>
  <c r="B91" i="54" s="1"/>
  <c r="B76" i="54"/>
  <c r="B77" i="54" s="1"/>
  <c r="B78" i="54" s="1"/>
  <c r="B79" i="54" s="1"/>
  <c r="B80" i="54" s="1"/>
  <c r="B81" i="54" s="1"/>
  <c r="B82" i="54" s="1"/>
  <c r="B55" i="54"/>
  <c r="B56" i="54" s="1"/>
  <c r="B57" i="54" s="1"/>
  <c r="B58" i="54" s="1"/>
  <c r="B59" i="54" s="1"/>
  <c r="B60" i="54" s="1"/>
  <c r="B61" i="54" s="1"/>
  <c r="B41" i="54"/>
  <c r="B42" i="54" s="1"/>
  <c r="B43" i="54" s="1"/>
  <c r="B44" i="54" s="1"/>
  <c r="B45" i="54" s="1"/>
  <c r="B46" i="54" s="1"/>
  <c r="B47" i="54" s="1"/>
  <c r="B32" i="54"/>
  <c r="B33" i="54" s="1"/>
  <c r="B34" i="54" s="1"/>
  <c r="B35" i="54" s="1"/>
  <c r="B36" i="54" s="1"/>
  <c r="B37" i="54" s="1"/>
  <c r="B38" i="54" s="1"/>
  <c r="B13" i="54"/>
  <c r="B14" i="54" s="1"/>
  <c r="B15" i="54" s="1"/>
  <c r="B16" i="54" s="1"/>
  <c r="B17" i="54" s="1"/>
  <c r="B18" i="54" s="1"/>
  <c r="B19" i="54" s="1"/>
  <c r="B11" i="93"/>
  <c r="B12" i="93" s="1"/>
  <c r="B71" i="67"/>
  <c r="B72" i="67" s="1"/>
  <c r="B73" i="67" s="1"/>
  <c r="B74" i="67" s="1"/>
  <c r="B65" i="67"/>
  <c r="B66" i="67" s="1"/>
  <c r="B67" i="67" s="1"/>
  <c r="B68" i="67" s="1"/>
  <c r="B59" i="67"/>
  <c r="B60" i="67" s="1"/>
  <c r="B61" i="67" s="1"/>
  <c r="B62" i="67" s="1"/>
  <c r="B53" i="67"/>
  <c r="B54" i="67" s="1"/>
  <c r="B55" i="67" s="1"/>
  <c r="B56" i="67" s="1"/>
  <c r="B28" i="67"/>
  <c r="B29" i="67" s="1"/>
  <c r="B30" i="67" s="1"/>
  <c r="B31" i="67" s="1"/>
  <c r="B15" i="79"/>
  <c r="B16" i="79" s="1"/>
  <c r="B17" i="79" s="1"/>
  <c r="B10" i="79"/>
  <c r="B11" i="79" s="1"/>
  <c r="B12" i="79" s="1"/>
  <c r="B32" i="61"/>
  <c r="B33" i="61" s="1"/>
  <c r="B19" i="61"/>
  <c r="B20" i="61" s="1"/>
  <c r="B21" i="61" s="1"/>
  <c r="B22" i="61" s="1"/>
  <c r="B23" i="61" s="1"/>
  <c r="B24" i="61" s="1"/>
  <c r="B25" i="61" s="1"/>
  <c r="B26" i="61" s="1"/>
  <c r="B27" i="61" s="1"/>
  <c r="B28" i="61" s="1"/>
  <c r="B29" i="61" s="1"/>
  <c r="B11" i="60"/>
  <c r="B12" i="60" s="1"/>
  <c r="B13" i="60" s="1"/>
  <c r="B14" i="60" s="1"/>
  <c r="B11" i="59"/>
  <c r="B12" i="59" s="1"/>
  <c r="B53" i="81"/>
  <c r="B54" i="81" s="1"/>
  <c r="B49" i="81"/>
  <c r="B50" i="81" s="1"/>
  <c r="B45" i="81"/>
  <c r="B46" i="81" s="1"/>
  <c r="B33" i="81"/>
  <c r="B29" i="81"/>
  <c r="B24" i="81"/>
  <c r="B14" i="81"/>
  <c r="B10" i="57"/>
  <c r="B11" i="57" s="1"/>
  <c r="B12" i="57" s="1"/>
  <c r="B13" i="57" s="1"/>
  <c r="B14" i="57" s="1"/>
  <c r="B15" i="57" s="1"/>
  <c r="B16" i="57" s="1"/>
  <c r="B17" i="57" s="1"/>
  <c r="B18" i="57" s="1"/>
  <c r="B19" i="57" s="1"/>
  <c r="B20" i="57" s="1"/>
  <c r="B21" i="57" s="1"/>
  <c r="B22" i="57" s="1"/>
  <c r="B23" i="57" s="1"/>
  <c r="B24" i="57" s="1"/>
  <c r="B25" i="57" s="1"/>
  <c r="B26" i="57" s="1"/>
  <c r="B27" i="57" s="1"/>
  <c r="B28" i="57" s="1"/>
  <c r="B29" i="57" s="1"/>
  <c r="B30" i="57" s="1"/>
  <c r="B31" i="57" s="1"/>
  <c r="B32" i="57" s="1"/>
  <c r="B33" i="57" s="1"/>
  <c r="B34" i="57" s="1"/>
  <c r="B35" i="57" s="1"/>
  <c r="B36" i="57" s="1"/>
  <c r="B37" i="57" s="1"/>
  <c r="B38" i="57" s="1"/>
  <c r="B39" i="57" s="1"/>
  <c r="J35" i="59" l="1"/>
  <c r="J50" i="81"/>
  <c r="J36" i="59" s="1"/>
  <c r="E13" i="70" l="1"/>
  <c r="F26" i="61" s="1"/>
  <c r="D8" i="55"/>
  <c r="D9" i="55" s="1"/>
  <c r="D17" i="55" s="1"/>
  <c r="E35" i="70" l="1"/>
  <c r="E26" i="61"/>
  <c r="D16" i="54"/>
  <c r="D11" i="55"/>
  <c r="E7" i="55" s="1"/>
  <c r="D18" i="55"/>
  <c r="E20" i="58" s="1"/>
  <c r="H13" i="70"/>
  <c r="E20" i="70"/>
  <c r="H29" i="70" l="1"/>
  <c r="H35" i="70" s="1"/>
  <c r="E13" i="58"/>
  <c r="D17" i="54"/>
  <c r="D18" i="54" s="1"/>
  <c r="H20" i="70"/>
  <c r="I13" i="70"/>
  <c r="E43" i="70"/>
  <c r="E16" i="55"/>
  <c r="E18" i="55" s="1"/>
  <c r="F20" i="58" s="1"/>
  <c r="E11" i="55"/>
  <c r="F7" i="55" s="1"/>
  <c r="F16" i="55" l="1"/>
  <c r="F18" i="55" s="1"/>
  <c r="G20" i="58" s="1"/>
  <c r="F11" i="55"/>
  <c r="G7" i="55" s="1"/>
  <c r="E49" i="70"/>
  <c r="H43" i="70"/>
  <c r="M13" i="70"/>
  <c r="N13" i="70" s="1"/>
  <c r="I20" i="70"/>
  <c r="J29" i="70"/>
  <c r="E14" i="54"/>
  <c r="D20" i="54"/>
  <c r="D22" i="54" s="1"/>
  <c r="I29" i="70"/>
  <c r="I35" i="70" s="1"/>
  <c r="J35" i="70" l="1"/>
  <c r="F17" i="54"/>
  <c r="G17" i="54"/>
  <c r="H17" i="54"/>
  <c r="I17" i="54"/>
  <c r="G11" i="55"/>
  <c r="H7" i="55" s="1"/>
  <c r="G16" i="55"/>
  <c r="G18" i="55" s="1"/>
  <c r="H20" i="58" s="1"/>
  <c r="N20" i="70"/>
  <c r="G26" i="61"/>
  <c r="O29" i="70"/>
  <c r="O35" i="70" s="1"/>
  <c r="G13" i="58" s="1"/>
  <c r="R13" i="70"/>
  <c r="E17" i="54"/>
  <c r="E18" i="54" s="1"/>
  <c r="F13" i="58"/>
  <c r="M20" i="70"/>
  <c r="I43" i="70"/>
  <c r="I49" i="70" s="1"/>
  <c r="H49" i="70"/>
  <c r="M29" i="70"/>
  <c r="H11" i="55" l="1"/>
  <c r="I7" i="55" s="1"/>
  <c r="H16" i="55"/>
  <c r="H18" i="55" s="1"/>
  <c r="I20" i="58" s="1"/>
  <c r="E20" i="54"/>
  <c r="F14" i="54"/>
  <c r="R20" i="70"/>
  <c r="S13" i="70"/>
  <c r="M35" i="70"/>
  <c r="N29" i="70"/>
  <c r="M43" i="70"/>
  <c r="F18" i="54" l="1"/>
  <c r="G14" i="54" s="1"/>
  <c r="F20" i="54"/>
  <c r="F22" i="54" s="1"/>
  <c r="F24" i="54" s="1"/>
  <c r="G14" i="58" s="1"/>
  <c r="M49" i="70"/>
  <c r="N43" i="70"/>
  <c r="N49" i="70" s="1"/>
  <c r="S20" i="70"/>
  <c r="H26" i="61"/>
  <c r="T29" i="70"/>
  <c r="T35" i="70" s="1"/>
  <c r="H13" i="58" s="1"/>
  <c r="W13" i="70"/>
  <c r="N35" i="70"/>
  <c r="R29" i="70"/>
  <c r="I11" i="55"/>
  <c r="I16" i="55"/>
  <c r="I18" i="55" s="1"/>
  <c r="J20" i="58" s="1"/>
  <c r="E26" i="59"/>
  <c r="F36" i="81"/>
  <c r="F26" i="59"/>
  <c r="W20" i="70" l="1"/>
  <c r="X13" i="70"/>
  <c r="R35" i="70"/>
  <c r="S29" i="70"/>
  <c r="R43" i="70"/>
  <c r="G18" i="54"/>
  <c r="H14" i="54" s="1"/>
  <c r="G20" i="54"/>
  <c r="G22" i="54" s="1"/>
  <c r="G24" i="54" s="1"/>
  <c r="H14" i="58" s="1"/>
  <c r="F28" i="59"/>
  <c r="F17" i="71"/>
  <c r="E17" i="71"/>
  <c r="D17" i="71"/>
  <c r="D19" i="71" s="1"/>
  <c r="H17" i="71"/>
  <c r="H19" i="71" s="1"/>
  <c r="C17" i="71"/>
  <c r="I17" i="71"/>
  <c r="I19" i="71" s="1"/>
  <c r="G17" i="71"/>
  <c r="G19" i="71" s="1"/>
  <c r="N17" i="71"/>
  <c r="N19" i="71" s="1"/>
  <c r="K17" i="71"/>
  <c r="K19" i="71" s="1"/>
  <c r="J17" i="71"/>
  <c r="J19" i="71" s="1"/>
  <c r="M17" i="71"/>
  <c r="M19" i="71" s="1"/>
  <c r="L17" i="71"/>
  <c r="L19" i="71" s="1"/>
  <c r="E19" i="71"/>
  <c r="F19" i="71"/>
  <c r="E28" i="59"/>
  <c r="H18" i="54" l="1"/>
  <c r="I14" i="54" s="1"/>
  <c r="R49" i="70"/>
  <c r="S43" i="70"/>
  <c r="S49" i="70" s="1"/>
  <c r="S35" i="70"/>
  <c r="W29" i="70"/>
  <c r="X20" i="70"/>
  <c r="Y29" i="70"/>
  <c r="Y35" i="70" s="1"/>
  <c r="I13" i="58" s="1"/>
  <c r="I26" i="61"/>
  <c r="AB13" i="70"/>
  <c r="C19" i="71"/>
  <c r="O17" i="71"/>
  <c r="O19" i="71" s="1"/>
  <c r="G21" i="72" s="1"/>
  <c r="E46" i="81"/>
  <c r="E34" i="59" s="1"/>
  <c r="E131" i="59" s="1"/>
  <c r="E141" i="59" s="1"/>
  <c r="E147" i="59" s="1"/>
  <c r="E33" i="59"/>
  <c r="O9" i="71"/>
  <c r="O11" i="71" s="1"/>
  <c r="G12" i="72" s="1"/>
  <c r="N11" i="71"/>
  <c r="H20" i="54" l="1"/>
  <c r="H22" i="54" s="1"/>
  <c r="H24" i="54" s="1"/>
  <c r="I14" i="58" s="1"/>
  <c r="W35" i="70"/>
  <c r="X29" i="70"/>
  <c r="W43" i="70"/>
  <c r="AB20" i="70"/>
  <c r="AC13" i="70"/>
  <c r="I18" i="54"/>
  <c r="I20" i="54" s="1"/>
  <c r="I22" i="54" s="1"/>
  <c r="I24" i="54" s="1"/>
  <c r="J14" i="58" s="1"/>
  <c r="G33" i="59"/>
  <c r="G46" i="81"/>
  <c r="G34" i="59" s="1"/>
  <c r="G131" i="59" s="1"/>
  <c r="G141" i="59" s="1"/>
  <c r="G147" i="59" s="1"/>
  <c r="G148" i="59" s="1"/>
  <c r="G150" i="59" s="1"/>
  <c r="G161" i="59" s="1"/>
  <c r="G12" i="73"/>
  <c r="G12" i="74" s="1"/>
  <c r="G14" i="74" s="1"/>
  <c r="G14" i="72"/>
  <c r="F46" i="81"/>
  <c r="F34" i="59" s="1"/>
  <c r="F131" i="59" s="1"/>
  <c r="F141" i="59" s="1"/>
  <c r="F147" i="59" s="1"/>
  <c r="F33" i="59"/>
  <c r="G23" i="73"/>
  <c r="G23" i="74" s="1"/>
  <c r="G25" i="74" s="1"/>
  <c r="G23" i="72"/>
  <c r="F21" i="59"/>
  <c r="E21" i="59"/>
  <c r="G10" i="58" l="1"/>
  <c r="G124" i="59"/>
  <c r="G125" i="59" s="1"/>
  <c r="G38" i="61"/>
  <c r="G39" i="61"/>
  <c r="AC20" i="70"/>
  <c r="J26" i="61"/>
  <c r="AD29" i="70"/>
  <c r="AD35" i="70" s="1"/>
  <c r="J13" i="58" s="1"/>
  <c r="AG13" i="70"/>
  <c r="X35" i="70"/>
  <c r="AB29" i="70"/>
  <c r="W49" i="70"/>
  <c r="X43" i="70"/>
  <c r="X49" i="70" s="1"/>
  <c r="H33" i="59"/>
  <c r="H46" i="81"/>
  <c r="H34" i="59" s="1"/>
  <c r="H131" i="59" s="1"/>
  <c r="H141" i="59" s="1"/>
  <c r="H147" i="59" s="1"/>
  <c r="H148" i="59" s="1"/>
  <c r="H150" i="59" s="1"/>
  <c r="H161" i="59" s="1"/>
  <c r="D24" i="54"/>
  <c r="E14" i="58" s="1"/>
  <c r="E15" i="81"/>
  <c r="E13" i="59" s="1"/>
  <c r="E12" i="59"/>
  <c r="F15" i="81"/>
  <c r="F13" i="59" s="1"/>
  <c r="F12" i="59"/>
  <c r="E22" i="54"/>
  <c r="E24" i="54" s="1"/>
  <c r="F14" i="58" s="1"/>
  <c r="G42" i="61" l="1"/>
  <c r="G44" i="61" s="1"/>
  <c r="G16" i="58" s="1"/>
  <c r="H10" i="58"/>
  <c r="H124" i="59"/>
  <c r="H125" i="59" s="1"/>
  <c r="H38" i="61"/>
  <c r="H39" i="61"/>
  <c r="AB35" i="70"/>
  <c r="AC29" i="70"/>
  <c r="AB43" i="70"/>
  <c r="AG20" i="70"/>
  <c r="I33" i="59"/>
  <c r="I46" i="81"/>
  <c r="I34" i="59" s="1"/>
  <c r="I131" i="59" s="1"/>
  <c r="I141" i="59" s="1"/>
  <c r="I147" i="59" s="1"/>
  <c r="I148" i="59" s="1"/>
  <c r="I150" i="59" s="1"/>
  <c r="I161" i="59" s="1"/>
  <c r="F11" i="59"/>
  <c r="E21" i="66" s="1"/>
  <c r="E28" i="66" s="1"/>
  <c r="F9" i="65" s="1"/>
  <c r="E11" i="59"/>
  <c r="D21" i="66" s="1"/>
  <c r="H42" i="61" l="1"/>
  <c r="H44" i="61" s="1"/>
  <c r="H16" i="58" s="1"/>
  <c r="I10" i="58"/>
  <c r="I39" i="61"/>
  <c r="I38" i="61"/>
  <c r="I42" i="61" s="1"/>
  <c r="I44" i="61" s="1"/>
  <c r="I16" i="58" s="1"/>
  <c r="I124" i="59"/>
  <c r="I125" i="59" s="1"/>
  <c r="AB49" i="70"/>
  <c r="AC43" i="70"/>
  <c r="AC49" i="70" s="1"/>
  <c r="AC35" i="70"/>
  <c r="AG29" i="70"/>
  <c r="J33" i="59"/>
  <c r="J46" i="81"/>
  <c r="J34" i="59" s="1"/>
  <c r="J131" i="59" s="1"/>
  <c r="J141" i="59" s="1"/>
  <c r="J147" i="59" s="1"/>
  <c r="J148" i="59" s="1"/>
  <c r="J150" i="59" s="1"/>
  <c r="J161" i="59" s="1"/>
  <c r="D28" i="66"/>
  <c r="E9" i="65" s="1"/>
  <c r="F16" i="65"/>
  <c r="F11" i="58"/>
  <c r="F25" i="61"/>
  <c r="J10" i="58" l="1"/>
  <c r="J39" i="61"/>
  <c r="J38" i="61"/>
  <c r="J42" i="61" s="1"/>
  <c r="J44" i="61" s="1"/>
  <c r="J16" i="58" s="1"/>
  <c r="J124" i="59"/>
  <c r="J125" i="59" s="1"/>
  <c r="AG35" i="70"/>
  <c r="AG43" i="70"/>
  <c r="AG49" i="70" s="1"/>
  <c r="E16" i="65"/>
  <c r="E25" i="61"/>
  <c r="E11" i="58"/>
  <c r="E37" i="81" l="1"/>
  <c r="E29" i="59" s="1"/>
  <c r="E38" i="81"/>
  <c r="E23" i="59"/>
  <c r="F38" i="81"/>
  <c r="F23" i="59"/>
  <c r="F37" i="81"/>
  <c r="F29" i="59" s="1"/>
  <c r="F154" i="59" l="1"/>
  <c r="F157" i="59" s="1"/>
  <c r="F159" i="59" s="1"/>
  <c r="F148" i="59"/>
  <c r="F150" i="59" s="1"/>
  <c r="E154" i="59"/>
  <c r="E157" i="59" s="1"/>
  <c r="E159" i="59" s="1"/>
  <c r="E148" i="59"/>
  <c r="E150" i="59" s="1"/>
  <c r="E161" i="59" s="1"/>
  <c r="E30" i="59"/>
  <c r="E41" i="81"/>
  <c r="E31" i="59" s="1"/>
  <c r="E17" i="61" s="1"/>
  <c r="F30" i="59"/>
  <c r="F41" i="81"/>
  <c r="F31" i="59" s="1"/>
  <c r="E98" i="59"/>
  <c r="E22" i="61" s="1"/>
  <c r="F22" i="61"/>
  <c r="F93" i="59"/>
  <c r="E93" i="59"/>
  <c r="F161" i="59" l="1"/>
  <c r="E10" i="58"/>
  <c r="E38" i="61"/>
  <c r="E124" i="59"/>
  <c r="E125" i="59" s="1"/>
  <c r="E39" i="61"/>
  <c r="F10" i="58"/>
  <c r="F124" i="59"/>
  <c r="F125" i="59" s="1"/>
  <c r="F38" i="61"/>
  <c r="F39" i="61"/>
  <c r="F17" i="61"/>
  <c r="F42" i="61" l="1"/>
  <c r="F44" i="61" s="1"/>
  <c r="F16" i="58" s="1"/>
  <c r="E42" i="61"/>
  <c r="E44" i="61" s="1"/>
  <c r="E16" i="58" s="1"/>
  <c r="E66" i="59"/>
  <c r="E96" i="59" s="1"/>
  <c r="F96" i="59" l="1"/>
  <c r="E18" i="61"/>
  <c r="E19" i="61"/>
  <c r="E102" i="59"/>
  <c r="E121" i="59" s="1"/>
  <c r="E123" i="59" l="1"/>
  <c r="E9" i="58"/>
  <c r="F19" i="61"/>
  <c r="F18" i="61"/>
  <c r="F102" i="59"/>
  <c r="F121" i="59" s="1"/>
  <c r="F123" i="59" s="1"/>
  <c r="F9" i="58" l="1"/>
  <c r="C11" i="80"/>
  <c r="D12" i="72"/>
  <c r="K12" i="72" l="1"/>
  <c r="K14" i="72" s="1"/>
  <c r="D12" i="73"/>
  <c r="D11" i="80"/>
  <c r="D21" i="72"/>
  <c r="D23" i="73" l="1"/>
  <c r="K21" i="72"/>
  <c r="K23" i="72" s="1"/>
  <c r="D12" i="74"/>
  <c r="K12" i="74" s="1"/>
  <c r="K14" i="74" s="1"/>
  <c r="K12" i="73"/>
  <c r="D23" i="74" l="1"/>
  <c r="K23" i="74" s="1"/>
  <c r="K25" i="74" s="1"/>
  <c r="K23" i="73"/>
  <c r="E15" i="58" l="1"/>
  <c r="F15" i="58"/>
  <c r="G15" i="58"/>
  <c r="H15" i="58"/>
  <c r="I15" i="58"/>
  <c r="J15" i="58"/>
  <c r="E19" i="58"/>
  <c r="F19" i="58"/>
  <c r="G19" i="58"/>
  <c r="H19" i="58"/>
  <c r="I19" i="58"/>
  <c r="J19" i="58"/>
  <c r="E22" i="58"/>
  <c r="F22" i="58"/>
  <c r="G22" i="58"/>
  <c r="H22" i="58"/>
  <c r="I22" i="58"/>
  <c r="J22" i="58"/>
  <c r="C9" i="80"/>
  <c r="D9" i="80"/>
  <c r="E9" i="80"/>
  <c r="F9" i="80"/>
  <c r="G9" i="80"/>
  <c r="H9" i="80"/>
  <c r="E27" i="61"/>
  <c r="F27" i="61"/>
  <c r="G27" i="61"/>
  <c r="H27" i="61"/>
  <c r="I27" i="61"/>
  <c r="J27" i="61"/>
  <c r="E29" i="61"/>
  <c r="F29" i="61"/>
  <c r="G29" i="61"/>
  <c r="H29" i="61"/>
  <c r="I29" i="61"/>
  <c r="J29" i="61"/>
  <c r="E33" i="61"/>
  <c r="F33" i="61"/>
  <c r="G33" i="61"/>
  <c r="H33" i="61"/>
  <c r="I33" i="61"/>
  <c r="J33" i="61"/>
  <c r="C12" i="72"/>
  <c r="J12" i="72"/>
  <c r="N12" i="72"/>
  <c r="J14" i="72"/>
  <c r="N14" i="72"/>
  <c r="C21" i="72"/>
  <c r="J21" i="72"/>
  <c r="N21" i="72"/>
  <c r="J23" i="72"/>
  <c r="N23" i="72"/>
  <c r="C30" i="72"/>
  <c r="J30" i="72"/>
  <c r="N30" i="72"/>
  <c r="J32" i="72"/>
  <c r="N32" i="72"/>
  <c r="C39" i="72"/>
  <c r="J39" i="72"/>
  <c r="N39" i="72"/>
  <c r="J41" i="72"/>
  <c r="N41" i="72"/>
  <c r="C48" i="72"/>
  <c r="J48" i="72"/>
  <c r="N48" i="72"/>
  <c r="J50" i="72"/>
  <c r="N50" i="72"/>
  <c r="C57" i="72"/>
  <c r="J57" i="72"/>
  <c r="N57" i="72"/>
  <c r="J59" i="72"/>
  <c r="N59" i="72"/>
  <c r="C12" i="73"/>
  <c r="J12" i="73"/>
  <c r="N12" i="73"/>
  <c r="C23" i="73"/>
  <c r="J23" i="73"/>
  <c r="N23" i="73"/>
  <c r="C33" i="73"/>
  <c r="J33" i="73"/>
  <c r="N33" i="73"/>
  <c r="C43" i="73"/>
  <c r="J43" i="73"/>
  <c r="N43" i="73"/>
  <c r="C53" i="73"/>
  <c r="J53" i="73"/>
  <c r="N53" i="73"/>
  <c r="C63" i="73"/>
  <c r="J63" i="73"/>
  <c r="N63" i="73"/>
  <c r="C12" i="74"/>
  <c r="J12" i="74"/>
  <c r="N12" i="74"/>
  <c r="C14" i="74"/>
  <c r="J14" i="74"/>
  <c r="N14" i="74"/>
  <c r="C23" i="74"/>
  <c r="J23" i="74"/>
  <c r="N23" i="74"/>
  <c r="C25" i="74"/>
  <c r="J25" i="74"/>
  <c r="N25" i="74"/>
  <c r="C34" i="74"/>
  <c r="J34" i="74"/>
  <c r="N34" i="74"/>
  <c r="C36" i="74"/>
  <c r="J36" i="74"/>
  <c r="N36" i="74"/>
  <c r="C45" i="74"/>
  <c r="J45" i="74"/>
  <c r="N45" i="74"/>
  <c r="C47" i="74"/>
  <c r="J47" i="74"/>
  <c r="N47" i="74"/>
  <c r="C56" i="74"/>
  <c r="J56" i="74"/>
  <c r="N56" i="74"/>
  <c r="C58" i="74"/>
  <c r="J58" i="74"/>
  <c r="N58" i="74"/>
  <c r="C67" i="74"/>
  <c r="J67" i="74"/>
  <c r="N67" i="74"/>
  <c r="C69" i="74"/>
  <c r="J69" i="74"/>
  <c r="N69"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F145" authorId="0" shapeId="0" xr:uid="{2EC67BAC-4933-4590-AC11-BF41624705CB}">
      <text>
        <r>
          <rPr>
            <b/>
            <sz val="9"/>
            <color indexed="81"/>
            <rFont val="Tahoma"/>
            <family val="2"/>
          </rPr>
          <t>HP:</t>
        </r>
        <r>
          <rPr>
            <sz val="9"/>
            <color indexed="81"/>
            <rFont val="Tahoma"/>
            <family val="2"/>
          </rPr>
          <t xml:space="preserve">
the cost of FGD and SCR is considerd from 01.07.2025 in view of COD of FGD June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Anil Patkare</author>
  </authors>
  <commentList>
    <comment ref="E26" authorId="0" shapeId="0" xr:uid="{00000000-0006-0000-0600-000001000000}">
      <text>
        <r>
          <rPr>
            <b/>
            <sz val="9"/>
            <color indexed="81"/>
            <rFont val="Tahoma"/>
            <family val="2"/>
          </rPr>
          <t>User:</t>
        </r>
        <r>
          <rPr>
            <sz val="9"/>
            <color indexed="81"/>
            <rFont val="Tahoma"/>
            <family val="2"/>
          </rPr>
          <t xml:space="preserve">
FGD and SCR sysetm cost</t>
        </r>
      </text>
    </comment>
    <comment ref="F26" authorId="0" shapeId="0" xr:uid="{00000000-0006-0000-0600-000002000000}">
      <text>
        <r>
          <rPr>
            <b/>
            <sz val="9"/>
            <color indexed="81"/>
            <rFont val="Tahoma"/>
            <family val="2"/>
          </rPr>
          <t>User:</t>
        </r>
        <r>
          <rPr>
            <sz val="9"/>
            <color indexed="81"/>
            <rFont val="Tahoma"/>
            <family val="2"/>
          </rPr>
          <t xml:space="preserve">
FGD and SCR sysetm cost</t>
        </r>
      </text>
    </comment>
  </commentList>
</comments>
</file>

<file path=xl/sharedStrings.xml><?xml version="1.0" encoding="utf-8"?>
<sst xmlns="http://schemas.openxmlformats.org/spreadsheetml/2006/main" count="2113" uniqueCount="716">
  <si>
    <t>Project Details</t>
  </si>
  <si>
    <t>Project Title</t>
  </si>
  <si>
    <t>Project Start Date</t>
  </si>
  <si>
    <t>Loan Amount</t>
  </si>
  <si>
    <t>Loan Source</t>
  </si>
  <si>
    <t>TOTAL</t>
  </si>
  <si>
    <t>Project Purpose</t>
  </si>
  <si>
    <t>Project Number</t>
  </si>
  <si>
    <t>Equity</t>
  </si>
  <si>
    <t>Debt</t>
  </si>
  <si>
    <t>Reference</t>
  </si>
  <si>
    <t>S.No.</t>
  </si>
  <si>
    <t>Actual</t>
  </si>
  <si>
    <t>Project Completion date 
(Scheduled)</t>
  </si>
  <si>
    <t>Revised</t>
  </si>
  <si>
    <t>Financing Plan</t>
  </si>
  <si>
    <t>(Rs. Crore)</t>
  </si>
  <si>
    <t>Original</t>
  </si>
  <si>
    <t>Tenure of Loan (years)</t>
  </si>
  <si>
    <t>Moratorium Period (years)</t>
  </si>
  <si>
    <t>Internal Accruals</t>
  </si>
  <si>
    <t>Interest Rate (% p.a.)</t>
  </si>
  <si>
    <t>Estimated</t>
  </si>
  <si>
    <t>Form 1</t>
  </si>
  <si>
    <t xml:space="preserve">Capital Expenditure Plan </t>
  </si>
  <si>
    <t>Title</t>
  </si>
  <si>
    <t>Project Code</t>
  </si>
  <si>
    <t>Benefits in Quantified Terms</t>
  </si>
  <si>
    <t>Capitalisation</t>
  </si>
  <si>
    <t>Debt Equity Ratio</t>
  </si>
  <si>
    <t>Physical Progress (%)</t>
  </si>
  <si>
    <t>Projected</t>
  </si>
  <si>
    <t>Capital Expenditure</t>
  </si>
  <si>
    <t>a) DPR Schemes</t>
  </si>
  <si>
    <t>b) Non-DPR Schemes</t>
  </si>
  <si>
    <t>(i) In-principle approved by MERC</t>
  </si>
  <si>
    <t>(ii) Yet to receive in-principle MERC approval</t>
  </si>
  <si>
    <t>…</t>
  </si>
  <si>
    <t>Approved</t>
  </si>
  <si>
    <t>Source of Loan</t>
  </si>
  <si>
    <t>Remarks</t>
  </si>
  <si>
    <t>Opening Balance of Loan</t>
  </si>
  <si>
    <t>Loan Repayment during the year</t>
  </si>
  <si>
    <t>Closing Balance of Loan</t>
  </si>
  <si>
    <t>Applicable Interest Rate (%)</t>
  </si>
  <si>
    <t>Interest Expenses</t>
  </si>
  <si>
    <t>Gross Interest Expenses</t>
  </si>
  <si>
    <t>Less: Expenses Capitalised</t>
  </si>
  <si>
    <t xml:space="preserve">Net Interest Expenses </t>
  </si>
  <si>
    <t>Particulars</t>
  </si>
  <si>
    <t>Reduction in Equity Capital on account of retirement / replacement of assets</t>
  </si>
  <si>
    <t>Regulatory Equity at the end of the year</t>
  </si>
  <si>
    <t>Form 3</t>
  </si>
  <si>
    <t>Form 4</t>
  </si>
  <si>
    <t>Return on Regulatory Equity</t>
  </si>
  <si>
    <t>Total Capitalisation</t>
  </si>
  <si>
    <t>Expenses Capitalised</t>
  </si>
  <si>
    <t>Interest Capitalised</t>
  </si>
  <si>
    <t>Works Capitalised</t>
  </si>
  <si>
    <t>Closing CWIP</t>
  </si>
  <si>
    <t>Capital Work in Progress</t>
  </si>
  <si>
    <t>Investment during the year</t>
  </si>
  <si>
    <t>Opening CWIP</t>
  </si>
  <si>
    <t>Approved Project Cost</t>
  </si>
  <si>
    <t xml:space="preserve">Form 6: Interest Expenses </t>
  </si>
  <si>
    <t>Aggregate Revenue Requirement - Summary Sheet</t>
  </si>
  <si>
    <t>Energy Charges for Thermal Generation</t>
  </si>
  <si>
    <t>Form 2.1</t>
  </si>
  <si>
    <t>Form 2.2</t>
  </si>
  <si>
    <t>Interest on Working Capital - Thermal Generation</t>
  </si>
  <si>
    <t xml:space="preserve">Form 2.3 </t>
  </si>
  <si>
    <t>Operational Parameters - Hydel Generation</t>
  </si>
  <si>
    <t>Form 2.4</t>
  </si>
  <si>
    <t>Interest on Working Capital - Hydel Generation</t>
  </si>
  <si>
    <t>Form 2.5</t>
  </si>
  <si>
    <t>Planned &amp; Forced Outages</t>
  </si>
  <si>
    <t>Form 2.6</t>
  </si>
  <si>
    <t>Summary of Operations and Maintenance Expenses</t>
  </si>
  <si>
    <t>Form 3.1</t>
  </si>
  <si>
    <t>Form 3.2</t>
  </si>
  <si>
    <t>Form 3.3</t>
  </si>
  <si>
    <t>Form 3.4</t>
  </si>
  <si>
    <t>Assets &amp; Depreciation</t>
  </si>
  <si>
    <t>Form 5</t>
  </si>
  <si>
    <t>Form 6</t>
  </si>
  <si>
    <t>Sales Forecast</t>
  </si>
  <si>
    <t>Form 7</t>
  </si>
  <si>
    <t>Form 8</t>
  </si>
  <si>
    <t>Form 9</t>
  </si>
  <si>
    <t>Form 10</t>
  </si>
  <si>
    <t>Form 11</t>
  </si>
  <si>
    <t>Form 1:  Aggregate Revenue Requirement - Summary Sheet</t>
  </si>
  <si>
    <t>(a)</t>
  </si>
  <si>
    <t>(b)</t>
  </si>
  <si>
    <t>Fuel Related Expenses</t>
  </si>
  <si>
    <t>Operation &amp; Maintenance Expenses</t>
  </si>
  <si>
    <t>Depreciation Expenses</t>
  </si>
  <si>
    <t>Interest on Long-term Loan Capital</t>
  </si>
  <si>
    <t>Interest on Working Capital</t>
  </si>
  <si>
    <t xml:space="preserve">Other Expenses </t>
  </si>
  <si>
    <t>Income Tax</t>
  </si>
  <si>
    <t>Total Revenue Expenditure</t>
  </si>
  <si>
    <t>Add: Return on Equity Capital</t>
  </si>
  <si>
    <t>Less: Non-Tariff Income</t>
  </si>
  <si>
    <t>Aggregate Revenue Requirement</t>
  </si>
  <si>
    <t>Units</t>
  </si>
  <si>
    <t>Operational Parameters</t>
  </si>
  <si>
    <t>Total Capacity</t>
  </si>
  <si>
    <t>MW</t>
  </si>
  <si>
    <t>Target Availability for full recovery of AFC</t>
  </si>
  <si>
    <t>%</t>
  </si>
  <si>
    <t>Target PLF for Incentive</t>
  </si>
  <si>
    <t>MU</t>
  </si>
  <si>
    <t>Normative Auxiliary Energy Consumption</t>
  </si>
  <si>
    <t>Net Generation</t>
  </si>
  <si>
    <t>Normative Gross Station Heat Rate</t>
  </si>
  <si>
    <t>kcal/kWh</t>
  </si>
  <si>
    <t>Normative Secondary Fuel Oil Consumption</t>
  </si>
  <si>
    <t>ml/kWh</t>
  </si>
  <si>
    <t>Normative Transit Loss</t>
  </si>
  <si>
    <t>Fuel Parameters (for each primary and secondary fuel)</t>
  </si>
  <si>
    <t>2.1.1</t>
  </si>
  <si>
    <t>Fuel 1</t>
  </si>
  <si>
    <t>kcal/unit</t>
  </si>
  <si>
    <t>2.1.2</t>
  </si>
  <si>
    <t>Fuel 2</t>
  </si>
  <si>
    <t>2.1.3</t>
  </si>
  <si>
    <t>Fuel 3</t>
  </si>
  <si>
    <t>Landed Fuel Price per unit</t>
  </si>
  <si>
    <t>2.2.1</t>
  </si>
  <si>
    <t>Rs/unit</t>
  </si>
  <si>
    <t>2.2.2</t>
  </si>
  <si>
    <t>2.2.3</t>
  </si>
  <si>
    <t>Fuel Consumption and Heat Contribution (for each fuel separately)</t>
  </si>
  <si>
    <t>Specific Fuel Consumption</t>
  </si>
  <si>
    <t>3.1.1</t>
  </si>
  <si>
    <t>unit/kWh</t>
  </si>
  <si>
    <t>3.1.2</t>
  </si>
  <si>
    <t>3.1.3</t>
  </si>
  <si>
    <t>Total Fuel Consumption</t>
  </si>
  <si>
    <t>3.2.1</t>
  </si>
  <si>
    <t>3.2.2</t>
  </si>
  <si>
    <t>3.2.3</t>
  </si>
  <si>
    <t>Heat Content (each fuel separately)</t>
  </si>
  <si>
    <t>3.3.1</t>
  </si>
  <si>
    <t>Million kcal</t>
  </si>
  <si>
    <t>3.3.2</t>
  </si>
  <si>
    <t>Total Fuel Cost</t>
  </si>
  <si>
    <t>Rs Crore</t>
  </si>
  <si>
    <t>Other Charges and Adjustments</t>
  </si>
  <si>
    <t>Total Other Charges and Adjustments</t>
  </si>
  <si>
    <t>Rs/kWh</t>
  </si>
  <si>
    <t>Unit</t>
  </si>
  <si>
    <t>Basic Cost</t>
  </si>
  <si>
    <t xml:space="preserve">Freight </t>
  </si>
  <si>
    <t>Freight Surcharge, if applicable</t>
  </si>
  <si>
    <t>Fuel Handling Charges</t>
  </si>
  <si>
    <t>Taxes and Duties (pl. specify details)</t>
  </si>
  <si>
    <t>Transit Loss</t>
  </si>
  <si>
    <t>Norm</t>
  </si>
  <si>
    <r>
      <t>Cost of Secondary Fuel Oil</t>
    </r>
    <r>
      <rPr>
        <vertAlign val="superscript"/>
        <sz val="11"/>
        <rFont val="Times New Roman"/>
        <family val="1"/>
      </rPr>
      <t>1</t>
    </r>
  </si>
  <si>
    <r>
      <t>Fuel Cost</t>
    </r>
    <r>
      <rPr>
        <vertAlign val="superscript"/>
        <sz val="11"/>
        <rFont val="Times New Roman"/>
        <family val="1"/>
      </rPr>
      <t>3</t>
    </r>
  </si>
  <si>
    <r>
      <t>Liquid Fuel Stock</t>
    </r>
    <r>
      <rPr>
        <vertAlign val="superscript"/>
        <sz val="11"/>
        <rFont val="Times New Roman"/>
        <family val="1"/>
      </rPr>
      <t>3</t>
    </r>
  </si>
  <si>
    <t xml:space="preserve">Maintenance Spares </t>
  </si>
  <si>
    <t>Receivables</t>
  </si>
  <si>
    <t>Total Working Capital requirement</t>
  </si>
  <si>
    <t>Computation of working capital interest</t>
  </si>
  <si>
    <t>NAPAF</t>
  </si>
  <si>
    <t>Design Energy</t>
  </si>
  <si>
    <t>Gross Generation</t>
  </si>
  <si>
    <t>Auxiliary Energy Consumption</t>
  </si>
  <si>
    <t>A.</t>
  </si>
  <si>
    <t>Planned Outages</t>
  </si>
  <si>
    <t>No of days of outage</t>
  </si>
  <si>
    <t>Period of Outage</t>
  </si>
  <si>
    <t>Reasons for Outage</t>
  </si>
  <si>
    <t>B.</t>
  </si>
  <si>
    <t>Forced Outages</t>
  </si>
  <si>
    <t xml:space="preserve">Reasons for Outage </t>
  </si>
  <si>
    <t>……</t>
  </si>
  <si>
    <t>…….</t>
  </si>
  <si>
    <t>A</t>
  </si>
  <si>
    <t>O&amp;M Expenses</t>
  </si>
  <si>
    <t>Employee Expenses</t>
  </si>
  <si>
    <t xml:space="preserve">R&amp;M Expenses </t>
  </si>
  <si>
    <t xml:space="preserve">A&amp;G Expenses </t>
  </si>
  <si>
    <t>Total O&amp;M Expense capitalised</t>
  </si>
  <si>
    <t xml:space="preserve">Employee Expenses </t>
  </si>
  <si>
    <t>O&amp;M Norms specified by the Commission</t>
  </si>
  <si>
    <t>200/210/250 MW sets</t>
  </si>
  <si>
    <t>500 MW sets</t>
  </si>
  <si>
    <t>B</t>
  </si>
  <si>
    <t>C</t>
  </si>
  <si>
    <t>Form 3.2: Employee Expenses</t>
  </si>
  <si>
    <t>A. Expenditure details</t>
  </si>
  <si>
    <t>Basic Salary</t>
  </si>
  <si>
    <t>Dearness Allowance (DA)</t>
  </si>
  <si>
    <t>House Rent Allowance</t>
  </si>
  <si>
    <t>Conveyance Allowance</t>
  </si>
  <si>
    <t>Leave Travel Allowance</t>
  </si>
  <si>
    <t>Earned Leave Encashment</t>
  </si>
  <si>
    <t>Other Allowances</t>
  </si>
  <si>
    <t>Medical Reimbursement</t>
  </si>
  <si>
    <t>Overtime Payment</t>
  </si>
  <si>
    <t>Bonus/Ex-Gratia Payments</t>
  </si>
  <si>
    <t xml:space="preserve">Interim Relief / Wage Revision </t>
  </si>
  <si>
    <t>Staff welfare expenses</t>
  </si>
  <si>
    <t>VRS Expenses/Retrenchment Compensation</t>
  </si>
  <si>
    <t>Commission to Directors</t>
  </si>
  <si>
    <t>Training Expenses</t>
  </si>
  <si>
    <t>Payment under Workmen's Compensation Act</t>
  </si>
  <si>
    <t>Net Employee Costs</t>
  </si>
  <si>
    <t>Terminal Benefits</t>
  </si>
  <si>
    <t>Provident Fund Contribution</t>
  </si>
  <si>
    <t>Provision for PF Fund</t>
  </si>
  <si>
    <t>Pension Payments</t>
  </si>
  <si>
    <t>Gratuity Payment</t>
  </si>
  <si>
    <t>Others</t>
  </si>
  <si>
    <t xml:space="preserve">Gross Employee Expenses </t>
  </si>
  <si>
    <t xml:space="preserve">Net Employee Expenses </t>
  </si>
  <si>
    <t>B. Details of number of employees</t>
  </si>
  <si>
    <t>Officer/Managerial Cadre</t>
  </si>
  <si>
    <t>Technical</t>
  </si>
  <si>
    <t>Administrative</t>
  </si>
  <si>
    <t>Accounts and finance</t>
  </si>
  <si>
    <t>Other (Please specify)</t>
  </si>
  <si>
    <t>Staff Cadre</t>
  </si>
  <si>
    <t>Grade I</t>
  </si>
  <si>
    <t>Grade II</t>
  </si>
  <si>
    <t>Grade III</t>
  </si>
  <si>
    <t>Grade IV</t>
  </si>
  <si>
    <t>Others (please specify)</t>
  </si>
  <si>
    <t>Total Employees</t>
  </si>
  <si>
    <t>Form 3.3: Administration &amp; General Expenses</t>
  </si>
  <si>
    <t>Rent Rates &amp; Taxes</t>
  </si>
  <si>
    <t>Insurance</t>
  </si>
  <si>
    <t>Telephone &amp; Postage, etc.</t>
  </si>
  <si>
    <t>Legal charges &amp; Audit fee</t>
  </si>
  <si>
    <t>Professional, Consultancy, Technical fee</t>
  </si>
  <si>
    <t>Conveyance &amp; Travel</t>
  </si>
  <si>
    <t>Electricity charges</t>
  </si>
  <si>
    <t>Water charges</t>
  </si>
  <si>
    <t>Security arrangements</t>
  </si>
  <si>
    <t>Fees &amp; subscription</t>
  </si>
  <si>
    <t>Books &amp; periodicals</t>
  </si>
  <si>
    <t>Computer Stationery</t>
  </si>
  <si>
    <t>Printing &amp; Stationery</t>
  </si>
  <si>
    <t xml:space="preserve">Advertisements </t>
  </si>
  <si>
    <t>Purchase Related Advertisement Expenses</t>
  </si>
  <si>
    <t>Contribution/Donations</t>
  </si>
  <si>
    <t>License Fee  and other related fee</t>
  </si>
  <si>
    <t>Vehicle Running Expenses Truck / Delivery Van</t>
  </si>
  <si>
    <t>Vehicle Hiring Expenses Truck / Delivery Van</t>
  </si>
  <si>
    <t>Cost of services procured</t>
  </si>
  <si>
    <t>Outsourcing of metering and billing system</t>
  </si>
  <si>
    <t>Freight On Capital Equipments</t>
  </si>
  <si>
    <t>V-sat, Internet and related charges</t>
  </si>
  <si>
    <t>Training</t>
  </si>
  <si>
    <t>Bank Charges</t>
  </si>
  <si>
    <t>Miscellaneous Expenses</t>
  </si>
  <si>
    <t>Office Expenses</t>
  </si>
  <si>
    <t>Gross A &amp;G Expenses</t>
  </si>
  <si>
    <t xml:space="preserve">Net A &amp;G Expenses </t>
  </si>
  <si>
    <t>Form 3.4: Repair &amp; Maintenance Expenses</t>
  </si>
  <si>
    <t>Plant &amp; Machinery</t>
  </si>
  <si>
    <t>Buildings</t>
  </si>
  <si>
    <t>Civil Works</t>
  </si>
  <si>
    <t>Hydraulic Works</t>
  </si>
  <si>
    <t>Lines &amp; Cable Networks</t>
  </si>
  <si>
    <t>Vehicles</t>
  </si>
  <si>
    <t>Furniture &amp; Fixtures</t>
  </si>
  <si>
    <t>Office Equipment</t>
  </si>
  <si>
    <t>Gross R&amp;M Expenses</t>
  </si>
  <si>
    <t>Gross Fixed Assets at beginning of year</t>
  </si>
  <si>
    <t>R&amp;M Expenses as % of GFA at beginning of year</t>
  </si>
  <si>
    <t>Form 5: Assets &amp; Depreciation</t>
  </si>
  <si>
    <t xml:space="preserve">       </t>
  </si>
  <si>
    <t>(A) Gross Fixed Assets</t>
  </si>
  <si>
    <t>Balance at the beginning of the year</t>
  </si>
  <si>
    <t>Additions during the year</t>
  </si>
  <si>
    <t>Retirement of assets during the year</t>
  </si>
  <si>
    <t>Balance at the end of the year</t>
  </si>
  <si>
    <t>Total</t>
  </si>
  <si>
    <t>(B) Depreciation</t>
  </si>
  <si>
    <t>Accumulated depreciation at the beginning of the year</t>
  </si>
  <si>
    <t>Withdrawals during the year</t>
  </si>
  <si>
    <t>Accumulated depreciation at the end of the year</t>
  </si>
  <si>
    <t>Form 8: Sales Forecast</t>
  </si>
  <si>
    <t>(MU)</t>
  </si>
  <si>
    <t>Customer</t>
  </si>
  <si>
    <t>Apr</t>
  </si>
  <si>
    <t>May</t>
  </si>
  <si>
    <t>Jun</t>
  </si>
  <si>
    <t>Jul</t>
  </si>
  <si>
    <t>Aug</t>
  </si>
  <si>
    <t>Sep</t>
  </si>
  <si>
    <t>Oct</t>
  </si>
  <si>
    <t>Nov</t>
  </si>
  <si>
    <t>Dec</t>
  </si>
  <si>
    <t>Jan</t>
  </si>
  <si>
    <t>Feb</t>
  </si>
  <si>
    <t>Mar</t>
  </si>
  <si>
    <t xml:space="preserve">Components of tariff </t>
  </si>
  <si>
    <t>Relevant sales &amp; load/demand data for revenue calculation</t>
  </si>
  <si>
    <t>Full year revenue (Rs. Crore)</t>
  </si>
  <si>
    <t>Sales in MU</t>
  </si>
  <si>
    <t>Item 3 (specify)</t>
  </si>
  <si>
    <t xml:space="preserve">Revenue from Fixed / Capacity Charges </t>
  </si>
  <si>
    <t>Revenue from Energy Charges</t>
  </si>
  <si>
    <t>Income from sale of ash/rejected coal</t>
  </si>
  <si>
    <t>Income from hire charges from contractors and others</t>
  </si>
  <si>
    <t>Income from advertisements, etc.</t>
  </si>
  <si>
    <t>Deviation</t>
  </si>
  <si>
    <t>Controllable</t>
  </si>
  <si>
    <t>Uncontrollable</t>
  </si>
  <si>
    <t>Revenue</t>
  </si>
  <si>
    <t>Revenue from sale of electricity</t>
  </si>
  <si>
    <t>Fuel Cost Details for Thermal Generation</t>
  </si>
  <si>
    <t>Capitalisation Plan</t>
  </si>
  <si>
    <t>Form 9.1</t>
  </si>
  <si>
    <t>Form 9.2</t>
  </si>
  <si>
    <t>Expected Revenue at Existing Tariff</t>
  </si>
  <si>
    <t>Non-Tariff Income</t>
  </si>
  <si>
    <t>Truing-Up Summary</t>
  </si>
  <si>
    <t>Total Revenue Gap/(Surplus)</t>
  </si>
  <si>
    <t>Actual/Projected Auxiliary Energy Consumption</t>
  </si>
  <si>
    <t>Actual/Projected Gross Station Heat Rate</t>
  </si>
  <si>
    <t>Actual/Projected Secondary Fuel Oil Consumption</t>
  </si>
  <si>
    <t>Actual/Projected Transit Loss</t>
  </si>
  <si>
    <t>Actual/Projected Annual Plant Availability Factor</t>
  </si>
  <si>
    <t>Form 11:  Non-Tariff Income</t>
  </si>
  <si>
    <t>Other Expenses</t>
  </si>
  <si>
    <t>Form 12</t>
  </si>
  <si>
    <t>Form 10:  Other Expenses</t>
  </si>
  <si>
    <t>FY 2019-20</t>
  </si>
  <si>
    <t>300/330/350 MW</t>
  </si>
  <si>
    <t>Income from investments</t>
  </si>
  <si>
    <t>Income from sale of tender documents</t>
  </si>
  <si>
    <r>
      <t xml:space="preserve">Cost of Coal/Lignite and Limestone towards stock, if applicable </t>
    </r>
    <r>
      <rPr>
        <vertAlign val="superscript"/>
        <sz val="11"/>
        <rFont val="Times New Roman"/>
        <family val="1"/>
      </rPr>
      <t>1</t>
    </r>
  </si>
  <si>
    <r>
      <t xml:space="preserve">Cost of Oil towards stock, if applicable </t>
    </r>
    <r>
      <rPr>
        <vertAlign val="superscript"/>
        <sz val="11"/>
        <rFont val="Times New Roman"/>
        <family val="1"/>
      </rPr>
      <t>2</t>
    </r>
  </si>
  <si>
    <r>
      <t xml:space="preserve">Cost of Oil </t>
    </r>
    <r>
      <rPr>
        <vertAlign val="superscript"/>
        <sz val="11"/>
        <rFont val="Times New Roman"/>
        <family val="1"/>
      </rPr>
      <t>2</t>
    </r>
  </si>
  <si>
    <r>
      <t xml:space="preserve">Cost of coal or lignite and Limestone </t>
    </r>
    <r>
      <rPr>
        <vertAlign val="superscript"/>
        <sz val="11"/>
        <rFont val="Times New Roman"/>
        <family val="1"/>
      </rPr>
      <t>1</t>
    </r>
  </si>
  <si>
    <t>Calorific Value (As received)</t>
  </si>
  <si>
    <t>Unit 1 / Station 1</t>
  </si>
  <si>
    <t>Unit 2 / Station 2</t>
  </si>
  <si>
    <t>Interest on Loan Capital</t>
  </si>
  <si>
    <t xml:space="preserve">Depreciation </t>
  </si>
  <si>
    <t>Calorific Value (As Fired)</t>
  </si>
  <si>
    <t>2.3.1</t>
  </si>
  <si>
    <t>2.3.2</t>
  </si>
  <si>
    <t>2.3.3</t>
  </si>
  <si>
    <t>Sr. No.</t>
  </si>
  <si>
    <t>(C ) Net Fixed Assets</t>
  </si>
  <si>
    <t>Addition of Loan during the year</t>
  </si>
  <si>
    <t xml:space="preserve">Sr. No. </t>
  </si>
  <si>
    <t>Form 9:  Revenue from Sale of Electricity</t>
  </si>
  <si>
    <t>Energy Charges (Rs./kWh)</t>
  </si>
  <si>
    <t>Fuel surcharge per unit, if any (Rs./kWh)</t>
  </si>
  <si>
    <t>Fixed / Capacity Charges (Rs. Crore / year)</t>
  </si>
  <si>
    <t>Net Income from supply of electricity by the Generation Company to the housing colonies of its operating staff and supply of electricity by the Generating Company for construction works at generating Station, after adjusting the expenses incurred for supply of such electricity</t>
  </si>
  <si>
    <t>Form 13</t>
  </si>
  <si>
    <t>Form 13:  Truing-up Summary</t>
  </si>
  <si>
    <t>Total Revenue</t>
  </si>
  <si>
    <t>a</t>
  </si>
  <si>
    <t>b</t>
  </si>
  <si>
    <t>e</t>
  </si>
  <si>
    <t>2.4.1</t>
  </si>
  <si>
    <t>2.4.2</t>
  </si>
  <si>
    <t>2.4.3</t>
  </si>
  <si>
    <t>Form 2.7</t>
  </si>
  <si>
    <t>Energy Charge Rate for Hydel Generation</t>
  </si>
  <si>
    <t>c</t>
  </si>
  <si>
    <t>Auxiliary Consumption</t>
  </si>
  <si>
    <t>f</t>
  </si>
  <si>
    <t>g=e*(1-f)</t>
  </si>
  <si>
    <t>h=0.50*a/g</t>
  </si>
  <si>
    <t>Normative Availability (%)</t>
  </si>
  <si>
    <t>Actual Availability (%)</t>
  </si>
  <si>
    <t>Design Energy (MU)</t>
  </si>
  <si>
    <t>Auxiliary Consumption (%)</t>
  </si>
  <si>
    <t>Net Design Energy (MU)</t>
  </si>
  <si>
    <t>Energy Charge Rate (Rs. kWh)</t>
  </si>
  <si>
    <t>Form 1.1: Summary of Tariff Proposal</t>
  </si>
  <si>
    <t>Summary of Tariff Proposal</t>
  </si>
  <si>
    <t>Form 1.1</t>
  </si>
  <si>
    <t>Form 2.1: Operational Parameters for Thermal Generation</t>
  </si>
  <si>
    <t>Availability</t>
  </si>
  <si>
    <t>Plant Load Factor (PLF)</t>
  </si>
  <si>
    <t>Secondary Fuel Oil Consumption</t>
  </si>
  <si>
    <t>Total Heat Content</t>
  </si>
  <si>
    <t>Computation of Working Capital Interest</t>
  </si>
  <si>
    <t>Interest Rate (%) - SBI Base Rate +150 basis points</t>
  </si>
  <si>
    <t xml:space="preserve">O&amp;M expenses </t>
  </si>
  <si>
    <t>Norms</t>
  </si>
  <si>
    <t>Interest Rate (%) - SBI Base Rate +150 Basis Points</t>
  </si>
  <si>
    <t>Form 2.2: Energy Charges for Thermal Generation</t>
  </si>
  <si>
    <t>Form 2.3: Fuel Cost Details for Thermal Generation</t>
  </si>
  <si>
    <t>Form 2.4: Interest on Working Capital - Thermal Generation</t>
  </si>
  <si>
    <t>Form 2.5: Operational Parameters - Hydel Generation</t>
  </si>
  <si>
    <t>Form 2.7: Interest on Working Capital - Hydel Generation</t>
  </si>
  <si>
    <t>Form 2.8: Planned &amp; Forced Outages</t>
  </si>
  <si>
    <t>Form 2.8</t>
  </si>
  <si>
    <t>Operational Parameters-Thermal Generation</t>
  </si>
  <si>
    <t>Total Operation &amp; Maintenance Expenses (Net of Capitalisation)</t>
  </si>
  <si>
    <t>(d)</t>
  </si>
  <si>
    <t>(e )</t>
  </si>
  <si>
    <t>Form 4.1</t>
  </si>
  <si>
    <t>Form 4.2</t>
  </si>
  <si>
    <t>Opening Balance of Gross Normative Loan</t>
  </si>
  <si>
    <t>Cumulative Repayment till the year</t>
  </si>
  <si>
    <t>Opening Balance of Net Normative Loan</t>
  </si>
  <si>
    <t>Less: Reduction of Normative Loan due to retirement or replacement of assets</t>
  </si>
  <si>
    <t>Closing Balance of Net Normative Loan</t>
  </si>
  <si>
    <t>Closing Balance of Gross Normative Loan</t>
  </si>
  <si>
    <t>A) Normative Loan</t>
  </si>
  <si>
    <t>Financing Charges</t>
  </si>
  <si>
    <t>Return on Equity Computation</t>
  </si>
  <si>
    <t>Total Return on Equity</t>
  </si>
  <si>
    <t>Repayment of Normative loan during the year</t>
  </si>
  <si>
    <t>Reasons for Deviation</t>
  </si>
  <si>
    <t>Reasons for Delay, if any</t>
  </si>
  <si>
    <t>2.5.1</t>
  </si>
  <si>
    <t>IDC</t>
  </si>
  <si>
    <t>2.5.2</t>
  </si>
  <si>
    <t>2.5.3</t>
  </si>
  <si>
    <t>Energy Charge Rate ex-bus (Rs./kWh)</t>
  </si>
  <si>
    <t>NAPAF (%)</t>
  </si>
  <si>
    <t>………</t>
  </si>
  <si>
    <t>Loan 2</t>
  </si>
  <si>
    <t>Loan 1</t>
  </si>
  <si>
    <t>Form 9.2:  Expected Revenue at Existing Tariff</t>
  </si>
  <si>
    <t>Form 9.3:  Expected Revenue at Proposed Tariff</t>
  </si>
  <si>
    <t>S. No.</t>
  </si>
  <si>
    <t>Availability during the month (%)</t>
  </si>
  <si>
    <t>Cumulative Availability (%)</t>
  </si>
  <si>
    <t>Actual PLF during the month (%)</t>
  </si>
  <si>
    <t>Cumulative PLF (%)</t>
  </si>
  <si>
    <t>Gross  Generation (MU)</t>
  </si>
  <si>
    <t>Auxiliary Consumption (MU)</t>
  </si>
  <si>
    <t>Variable Charges Per Unit</t>
  </si>
  <si>
    <t>Fixed Charges During Month</t>
  </si>
  <si>
    <t>Variable Charges Amount</t>
  </si>
  <si>
    <t>Incentive Amount</t>
  </si>
  <si>
    <t>Revenue from sale of power</t>
  </si>
  <si>
    <t>Other recoveries/adjustments</t>
  </si>
  <si>
    <t>Form 9.1:  Reconciliation of Revenue claimed for true up and as per the Audited Accounts</t>
  </si>
  <si>
    <t>Form 9.3</t>
  </si>
  <si>
    <t>Reconciliation of Revenue claimed for true up and as per the Audited Accounts</t>
  </si>
  <si>
    <t>Rs./kWh</t>
  </si>
  <si>
    <t>Rs. Crore</t>
  </si>
  <si>
    <t>Total Revenue as per Audited Accounts</t>
  </si>
  <si>
    <t>Expected Revenue at Proposed Tariff</t>
  </si>
  <si>
    <t>Gross Station Heat Rate</t>
  </si>
  <si>
    <t>Actual stacking loss</t>
  </si>
  <si>
    <t>unit</t>
  </si>
  <si>
    <t>Target Availability (%)</t>
  </si>
  <si>
    <t>Legend</t>
  </si>
  <si>
    <t>d=0.50*a*c/b</t>
  </si>
  <si>
    <t>Annual Fixed Cost for Hydel Generating Station (Rs. Crore)</t>
  </si>
  <si>
    <t>Form 2.6: Capacity Charge &amp; Energy Charge Rate - Hydel Generation</t>
  </si>
  <si>
    <t>Capacity Charges (Rs. Crore)</t>
  </si>
  <si>
    <t>B. For New Generating Stations &amp; Generating Stations that achieved COD after 26.8.2005</t>
  </si>
  <si>
    <t>Installed Capacity</t>
  </si>
  <si>
    <t>C ) Actual Loans drawn during the year</t>
  </si>
  <si>
    <t>Addition of Normative Loan due to capitalisation during the year</t>
  </si>
  <si>
    <t>Weighted average Rate of Interest on actual Loans (%)</t>
  </si>
  <si>
    <t>Total Interest &amp; Financing Charges</t>
  </si>
  <si>
    <t>B) Existing Actual Long-term Loans</t>
  </si>
  <si>
    <t>Average Balance of Net Normative Loan</t>
  </si>
  <si>
    <t>Average Loan Balance</t>
  </si>
  <si>
    <t>Net Generation (MU)</t>
  </si>
  <si>
    <t>Income from Sale of Scrap</t>
  </si>
  <si>
    <t>Income from Rents of land or buildings</t>
  </si>
  <si>
    <t>Interest income on advances to suppliers/contractors</t>
  </si>
  <si>
    <t>Income from Rental from staff quarters</t>
  </si>
  <si>
    <t>Income from Rental from contractors</t>
  </si>
  <si>
    <t xml:space="preserve">Form 12 (A):  Income Tax </t>
  </si>
  <si>
    <t>….</t>
  </si>
  <si>
    <t>Station/Unit: _________________</t>
  </si>
  <si>
    <t>Generation above target PLF (MU)</t>
  </si>
  <si>
    <t>Approved Fixed Charges</t>
  </si>
  <si>
    <t>Fuel Surcharge Adjustment</t>
  </si>
  <si>
    <t>Amount of Fuel Surcharge Adjustment</t>
  </si>
  <si>
    <t>Form 4:  Summary of Capital Expenditure and Capitalisation</t>
  </si>
  <si>
    <t>Capitalisation + IDC</t>
  </si>
  <si>
    <t>Summary of Capital Expenditure and Capitalisation</t>
  </si>
  <si>
    <t>Form 4.3</t>
  </si>
  <si>
    <t>Net Entitlement after sharing of gains/(losses)</t>
  </si>
  <si>
    <t>Loan 3</t>
  </si>
  <si>
    <t>MERC Approval No.</t>
  </si>
  <si>
    <t>MERC Approval Date</t>
  </si>
  <si>
    <t>Capital Cost</t>
  </si>
  <si>
    <t xml:space="preserve">Actual </t>
  </si>
  <si>
    <t>Actual Capital Cost Incurred</t>
  </si>
  <si>
    <t>Source of Financing for Capital Expenditure</t>
  </si>
  <si>
    <t>MERC Approved Cost</t>
  </si>
  <si>
    <t>Approved Start Date</t>
  </si>
  <si>
    <t>Actual Start Date</t>
  </si>
  <si>
    <t>Approved Date of Completion</t>
  </si>
  <si>
    <t>Actual Date of Completion</t>
  </si>
  <si>
    <t>Cumulative Expenditure Incurred till beginning of the Year</t>
  </si>
  <si>
    <t>Capital Expenditure Capitalised</t>
  </si>
  <si>
    <t xml:space="preserve">Form 4.1: Capital Expenditure Plan </t>
  </si>
  <si>
    <t>FY 2020-21</t>
  </si>
  <si>
    <t>FY 2021-22</t>
  </si>
  <si>
    <t>FY 2022-23</t>
  </si>
  <si>
    <t>FY 2023-24</t>
  </si>
  <si>
    <t>FY 2024-25</t>
  </si>
  <si>
    <t>Ensuing Year FY 2024-25</t>
  </si>
  <si>
    <t>Type of Thermal Generating Station (Pithead/Non-Pithead)</t>
  </si>
  <si>
    <t>Plant and Machinery</t>
  </si>
  <si>
    <t>Form 15</t>
  </si>
  <si>
    <t>Depreciation Schedule</t>
  </si>
  <si>
    <t>Capitalisation during the year $</t>
  </si>
  <si>
    <r>
      <t>Less: Payables for Fuel</t>
    </r>
    <r>
      <rPr>
        <vertAlign val="superscript"/>
        <sz val="11"/>
        <rFont val="Times New Roman"/>
        <family val="1"/>
      </rPr>
      <t>4</t>
    </r>
  </si>
  <si>
    <t>Base Rate of Return on Equity</t>
  </si>
  <si>
    <t xml:space="preserve">Return on Regulatory Equity at the beginning of the year </t>
  </si>
  <si>
    <t xml:space="preserve">Return on Regulatory Equity addition during the year </t>
  </si>
  <si>
    <t>Form 12 (D):  Computation of Effective Tax Rate</t>
  </si>
  <si>
    <t>Actual Income Tax paid by the Entity #</t>
  </si>
  <si>
    <t>Rate of Pre Tax Return on Equity (%)</t>
  </si>
  <si>
    <t>Effective Tax Rate of the Company (%) $</t>
  </si>
  <si>
    <t>c = (b/a)</t>
  </si>
  <si>
    <t>Fuel Utilisation Plan</t>
  </si>
  <si>
    <t>Form 16</t>
  </si>
  <si>
    <t>C. Opex Schemes</t>
  </si>
  <si>
    <t>System Automation</t>
  </si>
  <si>
    <t>New Technology</t>
  </si>
  <si>
    <t>I.T. Implementation</t>
  </si>
  <si>
    <t>Calorific Value (As billed)</t>
  </si>
  <si>
    <t>Opex Schemes</t>
  </si>
  <si>
    <t>600 MW sets</t>
  </si>
  <si>
    <t>800 MW sets &amp; above</t>
  </si>
  <si>
    <t xml:space="preserve">600 MW sets </t>
  </si>
  <si>
    <t>Pretax Return on Equity after considering effective Tax rate $$</t>
  </si>
  <si>
    <t>Grant Funding</t>
  </si>
  <si>
    <t>Asset not in use</t>
  </si>
  <si>
    <t xml:space="preserve">Regulatory Equity at the beginning of the year </t>
  </si>
  <si>
    <t>Equity portion of capitalisation during the year #</t>
  </si>
  <si>
    <t>Return on Regulatory Equity at the beginning of the year</t>
  </si>
  <si>
    <t>Return on Regulatory Equity addition during the year</t>
  </si>
  <si>
    <t>Revised Normative</t>
  </si>
  <si>
    <t>Formula</t>
  </si>
  <si>
    <t>Total Gross Income of Regulated Entity (Rs. Crore)</t>
  </si>
  <si>
    <t>Base Rate of Return on Equity (%)</t>
  </si>
  <si>
    <t>Payment Efficiency</t>
  </si>
  <si>
    <r>
      <rPr>
        <b/>
        <sz val="11"/>
        <rFont val="Times New Roman"/>
        <family val="1"/>
      </rPr>
      <t>Note</t>
    </r>
    <r>
      <rPr>
        <sz val="11"/>
        <rFont val="Times New Roman"/>
        <family val="1"/>
      </rPr>
      <t>: Please give detailed explanation separately for the deviations on account of uncontrollable factors</t>
    </r>
  </si>
  <si>
    <t>Capacity (Fixed) Charges (Rs. Crore)</t>
  </si>
  <si>
    <t xml:space="preserve">Form 4.2: Capitalisation Plan </t>
  </si>
  <si>
    <t>Form 4.3:  Capital Work-in-progress - Project-wise details</t>
  </si>
  <si>
    <t>In High Demand Season</t>
  </si>
  <si>
    <t>Peak Hours</t>
  </si>
  <si>
    <t>Off-Peak Hours</t>
  </si>
  <si>
    <t>In Low Demand Season</t>
  </si>
  <si>
    <t xml:space="preserve">Form 3:  Summary of Operations and Maintenance Expenses </t>
  </si>
  <si>
    <t xml:space="preserve">Administration &amp; General Expenses </t>
  </si>
  <si>
    <t xml:space="preserve">Repair &amp; Maintenance Expenses </t>
  </si>
  <si>
    <t>Operation and Maintenance Expenses - Normative</t>
  </si>
  <si>
    <t>Form 3.1:  Operation and Maintenance Expenses - Normative</t>
  </si>
  <si>
    <t xml:space="preserve">Deviation = Approved - Actual on account of </t>
  </si>
  <si>
    <t>Material Cost (b)</t>
  </si>
  <si>
    <t>IDC (c)</t>
  </si>
  <si>
    <t>Others (d)</t>
  </si>
  <si>
    <t>Total Deviation (a+b+c+d)</t>
  </si>
  <si>
    <t>Change in Scope of Work</t>
  </si>
  <si>
    <t>Change in Scope of Work (a)</t>
  </si>
  <si>
    <t>Any other reason</t>
  </si>
  <si>
    <t xml:space="preserve"> MTR Petition Formats - Generation</t>
  </si>
  <si>
    <t>Revenue from Sale of Electricity</t>
  </si>
  <si>
    <t>Revised Projections</t>
  </si>
  <si>
    <t>MTR Petition Formats - Generation</t>
  </si>
  <si>
    <t>Scheduled PLF</t>
  </si>
  <si>
    <t>Normative Auxiliary Energy Consumption with Flue Gas De-sulphuriser</t>
  </si>
  <si>
    <t>Actual/Estimated/Projected Auxiliary Energy Consumption with Flue Gas De-sulphuriser</t>
  </si>
  <si>
    <t>Actual/Estimated/Projected Auxiliary Energy Consumption</t>
  </si>
  <si>
    <t>Stacking Loss</t>
  </si>
  <si>
    <t>Actual/Estimated/Projected Availability</t>
  </si>
  <si>
    <t>1.3.1</t>
  </si>
  <si>
    <t>1.3.2</t>
  </si>
  <si>
    <t>Actual/Estimated/Projected PLF</t>
  </si>
  <si>
    <t>Actual/Estimated/Projected Gross Generation</t>
  </si>
  <si>
    <t>Normative Auxiliary Energy Consumption with FGD</t>
  </si>
  <si>
    <t>Actual/Estimated/Projected Auxiliary Energy Consumption with FGD</t>
  </si>
  <si>
    <t>Actual/Projected Auxiliary Energy Consumption with FGD</t>
  </si>
  <si>
    <t>Actual/Estimated/Projected Net Generation</t>
  </si>
  <si>
    <t>Scheduled Net Generation</t>
  </si>
  <si>
    <t>Scheduled Gross Generation</t>
  </si>
  <si>
    <t>Actual/Estimated/Projected Gross Station Heat Rate</t>
  </si>
  <si>
    <t>Actual/Estimated/Projected Secondary Fuel Oil Consumption</t>
  </si>
  <si>
    <t>Actual/Estimated/Projected Transit Loss</t>
  </si>
  <si>
    <t>Washery Charges</t>
  </si>
  <si>
    <t>Total Washery Charges</t>
  </si>
  <si>
    <t>Third Party Sampling Charges</t>
  </si>
  <si>
    <t>Total Sampling Charges</t>
  </si>
  <si>
    <t>Total Cost (4+5+6+7)</t>
  </si>
  <si>
    <t>Energy Charge per unit (ex-bus) (8/1.16)</t>
  </si>
  <si>
    <t>Total Price excluding Transit Loss and Stacking Loss</t>
  </si>
  <si>
    <t>Total Price including Transit Loss and Stacking Loss</t>
  </si>
  <si>
    <t>MTR Formats - Generation</t>
  </si>
  <si>
    <t>Scheduled Generation (MU)</t>
  </si>
  <si>
    <t>Receivables#</t>
  </si>
  <si>
    <t xml:space="preserve"> MTR Petition Formats  - Generation</t>
  </si>
  <si>
    <t>MTR Petition Formats- Generation</t>
  </si>
  <si>
    <t>Actual Capex till FY 2018-19</t>
  </si>
  <si>
    <t>Revised Projected</t>
  </si>
  <si>
    <t>Actual Progress till FY 2018-19</t>
  </si>
  <si>
    <t>Actual Capitalization till FY 2018-19</t>
  </si>
  <si>
    <t>Additional Return on Equity</t>
  </si>
  <si>
    <t>Additional Rate of Return on Equity for incremental ramp rate (a)</t>
  </si>
  <si>
    <t>Additional Rate of Return on Equity on account of MTBF (b)</t>
  </si>
  <si>
    <t>Total Additional Return on Equity</t>
  </si>
  <si>
    <t>Additional Return on Equity Computation</t>
  </si>
  <si>
    <t>Incremental Ramp rate over and above 1% per minute#</t>
  </si>
  <si>
    <t>Mean Time Between Failures (MTBF) during the year$</t>
  </si>
  <si>
    <t>Total Additional Rate of Return on Equity (c) = (a) + (b)</t>
  </si>
  <si>
    <t>Additional Rate of Return on Equity (%)</t>
  </si>
  <si>
    <t>Total Rate of Return on Equity (%)</t>
  </si>
  <si>
    <t>(f)= (d)+(e)</t>
  </si>
  <si>
    <t>g = f /(1-c)</t>
  </si>
  <si>
    <t>Form 14</t>
  </si>
  <si>
    <t>FY 2024-25 Revised Projected</t>
  </si>
  <si>
    <t>Scheduled PLF during the month (%)</t>
  </si>
  <si>
    <t>Scheduled PLF (%) during the month</t>
  </si>
  <si>
    <t>Projected Generation (MU)</t>
  </si>
  <si>
    <t xml:space="preserve">Any Other Charges (specify part name and unit) </t>
  </si>
  <si>
    <t>Share of Capacity (MW/%)</t>
  </si>
  <si>
    <t>Revenue from Any Other Charge (specify part name)</t>
  </si>
  <si>
    <t>Revenue from Fuel Surcharge</t>
  </si>
  <si>
    <t>MAHAGENCO</t>
  </si>
  <si>
    <t>Name of Unit - Bhusawal Unit 06</t>
  </si>
  <si>
    <t>MAHAGENCO
MTR Petition Formats - Generation
Form 7:  Return on Regulatory Equity                                                                                                                                                                                                                                                                                                                                                                                                     Name of Unit - Bhusawal Unit 06</t>
  </si>
  <si>
    <t>Year: FY 2024-25</t>
  </si>
  <si>
    <t>Year: 2024-25</t>
  </si>
  <si>
    <t>Non-Pithead</t>
  </si>
  <si>
    <t>Limestone and Ammonia Charges</t>
  </si>
  <si>
    <t>O&amp;M Expenses - Emission Control System</t>
  </si>
  <si>
    <t>O&amp;M Expenses  (Rs.Cr)</t>
  </si>
  <si>
    <t>O&amp;M Charges due to Emission Control System</t>
  </si>
  <si>
    <t>Tax Rate</t>
  </si>
  <si>
    <t>MSEDCL</t>
  </si>
  <si>
    <t>NOT APPLICABLE</t>
  </si>
  <si>
    <t>NIL</t>
  </si>
  <si>
    <t>Not considered as it is provisional tariff determination</t>
  </si>
  <si>
    <t>Working of Interest on working capital - Due to Emission Control System</t>
  </si>
  <si>
    <t>Cost of limestone/reagent towards stock - 20 days</t>
  </si>
  <si>
    <t>Advance payment for 30 days towards cost of reagent - 30 days</t>
  </si>
  <si>
    <t>Normative O&amp;M expense in respect of Emission Control system for one month</t>
  </si>
  <si>
    <t>Total Working Capital Requirement - ECS</t>
  </si>
  <si>
    <t>Interest on Working Capital - ECS</t>
  </si>
  <si>
    <t>Operation &amp; Maintenance Expenses -ECS</t>
  </si>
  <si>
    <t>Not applicable</t>
  </si>
  <si>
    <t>3.2.4</t>
  </si>
  <si>
    <t>N.A</t>
  </si>
  <si>
    <t>FY 2025-26</t>
  </si>
  <si>
    <t>FY 205-26</t>
  </si>
  <si>
    <t>Ensuing Year FY 2025-26</t>
  </si>
  <si>
    <t>Year: FY 2025-26</t>
  </si>
  <si>
    <t>Year: 2025-26</t>
  </si>
  <si>
    <t>FY 2025-26 Revised Projected</t>
  </si>
  <si>
    <t>FY 2026-27</t>
  </si>
  <si>
    <t>FY 2027-28</t>
  </si>
  <si>
    <t>FY 2028-29</t>
  </si>
  <si>
    <t>FY 2029-30</t>
  </si>
  <si>
    <t>Projection</t>
  </si>
  <si>
    <t>Ensuing Year FY 2026-27</t>
  </si>
  <si>
    <t>Ensuing Year FY 2027-28</t>
  </si>
  <si>
    <t>Ensuing Year FY 2028-29</t>
  </si>
  <si>
    <t>Ensuing Year FY 2029-30</t>
  </si>
  <si>
    <t>Year: FY 2026-27</t>
  </si>
  <si>
    <t>Year: FY 2027-28</t>
  </si>
  <si>
    <t>Year: FY 2028-29</t>
  </si>
  <si>
    <t>Year: FY 2029-30</t>
  </si>
  <si>
    <t>FY 2026-27 Projected</t>
  </si>
  <si>
    <t>FY 2028-29 Projected</t>
  </si>
  <si>
    <t>FY 2027-28 Projected</t>
  </si>
  <si>
    <t>FY 2029-30 Revised Projected</t>
  </si>
  <si>
    <t>Raw Coal</t>
  </si>
  <si>
    <t>Imported coal</t>
  </si>
  <si>
    <t>2.2.4</t>
  </si>
  <si>
    <t>2.3.4</t>
  </si>
  <si>
    <t>2.4.4</t>
  </si>
  <si>
    <t>3.1.4</t>
  </si>
  <si>
    <t>3.3.3</t>
  </si>
  <si>
    <t>FO</t>
  </si>
  <si>
    <t>LDO</t>
  </si>
  <si>
    <t>Fuel Related Expenses - ECS</t>
  </si>
  <si>
    <t>[K x SHR x S/CVPF] x [85/LP]</t>
  </si>
  <si>
    <t>SHR (kCal/kWh)</t>
  </si>
  <si>
    <t>GCV (kCal/kg)</t>
  </si>
  <si>
    <t>CVPF (kCal/kg)</t>
  </si>
  <si>
    <t>S (%)</t>
  </si>
  <si>
    <t>LP (%)</t>
  </si>
  <si>
    <t>SO2 Emission norm 
(100/200 mg/Nm3; 600 mg/Nm3)</t>
  </si>
  <si>
    <t>% as per SO2 Emission norm</t>
  </si>
  <si>
    <t>Multiplication Factor</t>
  </si>
  <si>
    <t>Design SO2 removal efficiency</t>
  </si>
  <si>
    <t>K</t>
  </si>
  <si>
    <t>Sp. Limestone consumption (g/kWh)</t>
  </si>
  <si>
    <t>Reagent Cost and Requirement</t>
  </si>
  <si>
    <t>Gross Generation (MU)</t>
  </si>
  <si>
    <t>Reagent</t>
  </si>
  <si>
    <t>Total Reagent Req. (T)</t>
  </si>
  <si>
    <t>Reagent Cost per Ton</t>
  </si>
  <si>
    <t>Total Reagent Cost (Rs.Cr)</t>
  </si>
  <si>
    <t>Ammonia Consumption and Cost of SCR system</t>
  </si>
  <si>
    <t>Sp. Ammonia Req. (g/kWh)</t>
  </si>
  <si>
    <t>Total Ammonia Req. (T)</t>
  </si>
  <si>
    <t>Ammonia Cost per Ton</t>
  </si>
  <si>
    <t>Total Ammonia Cost (Rs.Cr)</t>
  </si>
  <si>
    <t>Total Variable Cost - ECS - Rs. Crore</t>
  </si>
  <si>
    <t>Calcualtion of Reagent Cost</t>
  </si>
  <si>
    <t>Reagent Cost</t>
  </si>
  <si>
    <t>FGD Capitalisation</t>
  </si>
  <si>
    <t>Impact of Reagent Cost (Rs. kWh)</t>
  </si>
  <si>
    <t>Total Energy Charge (Rs. kWh)</t>
  </si>
  <si>
    <t>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</si>
</sst>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_);_(* \(#,##0.00\);_(* &quot;-&quot;??_);_(@_)"/>
    <numFmt numFmtId="165" formatCode="_-* #,##0.00_-;\-* #,##0.00_-;_-* &quot;-&quot;??_-;_-@_-"/>
    <numFmt numFmtId="166" formatCode="0.00_)"/>
    <numFmt numFmtId="167" formatCode="&quot;ß&quot;#,##0.00_);\(&quot;ß&quot;#,##0.00\)"/>
    <numFmt numFmtId="168" formatCode="0.0"/>
    <numFmt numFmtId="169" formatCode="_ * #,##0_ ;_ * \-#,##0_ ;_ * &quot;-&quot;??_ ;_ @_ "/>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sz val="10"/>
      <name val="Times New Roman"/>
      <family val="1"/>
    </font>
    <font>
      <b/>
      <sz val="10"/>
      <name val="Times New Roman"/>
      <family val="1"/>
    </font>
    <font>
      <b/>
      <sz val="11"/>
      <color indexed="8"/>
      <name val="Times New Roman"/>
      <family val="1"/>
    </font>
    <font>
      <b/>
      <sz val="12"/>
      <name val="Times New Roman"/>
      <family val="1"/>
    </font>
    <font>
      <b/>
      <sz val="14"/>
      <name val="Times New Roman"/>
      <family val="1"/>
    </font>
    <font>
      <sz val="11"/>
      <color indexed="9"/>
      <name val="Times New Roman"/>
      <family val="1"/>
    </font>
    <font>
      <b/>
      <sz val="10"/>
      <color indexed="9"/>
      <name val="Times New Roman"/>
      <family val="1"/>
    </font>
    <font>
      <sz val="11"/>
      <color indexed="13"/>
      <name val="Times New Roman"/>
      <family val="1"/>
    </font>
    <font>
      <sz val="11"/>
      <color indexed="50"/>
      <name val="Times New Roman"/>
      <family val="1"/>
    </font>
    <font>
      <sz val="12"/>
      <name val="Arial"/>
      <family val="2"/>
    </font>
    <font>
      <sz val="12"/>
      <name val="Times New Roman"/>
      <family val="1"/>
    </font>
    <font>
      <sz val="10"/>
      <name val="Arial"/>
      <family val="2"/>
    </font>
    <font>
      <sz val="12"/>
      <name val="Tms Rmn"/>
    </font>
    <font>
      <sz val="10"/>
      <name val="Helv"/>
    </font>
    <font>
      <sz val="8"/>
      <name val="Arial"/>
      <family val="2"/>
    </font>
    <font>
      <b/>
      <sz val="12"/>
      <name val="Arial"/>
      <family val="2"/>
    </font>
    <font>
      <sz val="7"/>
      <name val="Small Fonts"/>
      <family val="2"/>
    </font>
    <font>
      <b/>
      <i/>
      <sz val="16"/>
      <name val="Helv"/>
    </font>
    <font>
      <u/>
      <sz val="11"/>
      <name val="Times New Roman"/>
      <family val="1"/>
    </font>
    <font>
      <vertAlign val="superscript"/>
      <sz val="11"/>
      <name val="Times New Roman"/>
      <family val="1"/>
    </font>
    <font>
      <sz val="11"/>
      <name val="Arial"/>
      <family val="2"/>
    </font>
    <font>
      <sz val="11"/>
      <color indexed="8"/>
      <name val="Times New Roman"/>
      <family val="1"/>
    </font>
    <font>
      <b/>
      <sz val="11"/>
      <color indexed="9"/>
      <name val="Times New Roman"/>
      <family val="1"/>
    </font>
    <font>
      <sz val="11"/>
      <color theme="1"/>
      <name val="Calibri"/>
      <family val="2"/>
      <scheme val="minor"/>
    </font>
    <font>
      <b/>
      <sz val="11"/>
      <color theme="1"/>
      <name val="Times New Roman"/>
      <family val="1"/>
    </font>
    <font>
      <sz val="11"/>
      <color theme="1"/>
      <name val="Times New Roman"/>
      <family val="1"/>
    </font>
    <font>
      <sz val="11"/>
      <color indexed="8"/>
      <name val="Calibri"/>
      <family val="2"/>
    </font>
    <font>
      <sz val="11"/>
      <color theme="1"/>
      <name val="Calibri"/>
      <family val="2"/>
    </font>
    <font>
      <vertAlign val="superscript"/>
      <sz val="11"/>
      <color theme="1"/>
      <name val="Times New Roman"/>
      <family val="1"/>
    </font>
    <font>
      <sz val="12"/>
      <color theme="1"/>
      <name val="Book Antiqua"/>
      <family val="1"/>
    </font>
    <font>
      <sz val="10"/>
      <name val="Arial"/>
      <family val="2"/>
    </font>
    <font>
      <b/>
      <sz val="11"/>
      <name val="Arial"/>
      <family val="2"/>
    </font>
    <font>
      <b/>
      <u/>
      <sz val="11"/>
      <name val="Times New Roman"/>
      <family val="1"/>
    </font>
    <font>
      <sz val="10"/>
      <name val="Arial"/>
      <family val="2"/>
    </font>
    <font>
      <b/>
      <sz val="11"/>
      <color theme="1"/>
      <name val="Calibri"/>
      <family val="2"/>
      <scheme val="minor"/>
    </font>
    <font>
      <b/>
      <vertAlign val="superscript"/>
      <sz val="11"/>
      <name val="Times New Roman"/>
      <family val="1"/>
    </font>
    <font>
      <sz val="9"/>
      <color indexed="81"/>
      <name val="Tahoma"/>
      <family val="2"/>
    </font>
    <font>
      <b/>
      <sz val="9"/>
      <color indexed="81"/>
      <name val="Tahoma"/>
      <family val="2"/>
    </font>
    <font>
      <sz val="8"/>
      <name val="Arial"/>
      <family val="2"/>
    </font>
    <font>
      <b/>
      <sz val="10"/>
      <color theme="1"/>
      <name val="Cambria"/>
      <family val="2"/>
      <scheme val="major"/>
    </font>
    <font>
      <sz val="12"/>
      <color theme="1"/>
      <name val="Times New Roman"/>
      <family val="1"/>
    </font>
    <font>
      <sz val="10"/>
      <color theme="1"/>
      <name val="Cambria"/>
      <family val="2"/>
      <scheme val="major"/>
    </font>
    <font>
      <b/>
      <u/>
      <sz val="16"/>
      <name val="Times New Roman"/>
      <family val="1"/>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rgb="FFFFFF00"/>
        <bgColor indexed="64"/>
      </patternFill>
    </fill>
    <fill>
      <patternFill patternType="solid">
        <fgColor theme="9" tint="0.79998168889431442"/>
        <bgColor indexed="64"/>
      </patternFill>
    </fill>
  </fills>
  <borders count="18">
    <border>
      <left/>
      <right/>
      <top/>
      <bottom/>
      <diagonal/>
    </border>
    <border>
      <left/>
      <right style="thin">
        <color indexed="8"/>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1">
    <xf numFmtId="0" fontId="0" fillId="0" borderId="0"/>
    <xf numFmtId="0" fontId="18" fillId="0" borderId="0" applyNumberFormat="0" applyFill="0" applyBorder="0" applyAlignment="0" applyProtection="0"/>
    <xf numFmtId="0" fontId="19" fillId="0" borderId="1"/>
    <xf numFmtId="0" fontId="19" fillId="0" borderId="1"/>
    <xf numFmtId="38" fontId="20" fillId="2" borderId="0" applyNumberFormat="0" applyBorder="0" applyAlignment="0" applyProtection="0"/>
    <xf numFmtId="0" fontId="21" fillId="0" borderId="2" applyNumberFormat="0" applyAlignment="0" applyProtection="0">
      <alignment horizontal="left" vertical="center"/>
    </xf>
    <xf numFmtId="0" fontId="21" fillId="0" borderId="3">
      <alignment horizontal="left" vertical="center"/>
    </xf>
    <xf numFmtId="10" fontId="20" fillId="3" borderId="4" applyNumberFormat="0" applyBorder="0" applyAlignment="0" applyProtection="0"/>
    <xf numFmtId="37" fontId="22" fillId="0" borderId="0"/>
    <xf numFmtId="166" fontId="23" fillId="0" borderId="0"/>
    <xf numFmtId="0" fontId="17" fillId="0" borderId="0"/>
    <xf numFmtId="0" fontId="17" fillId="0" borderId="0"/>
    <xf numFmtId="0" fontId="6" fillId="0" borderId="0"/>
    <xf numFmtId="0" fontId="6" fillId="0" borderId="0"/>
    <xf numFmtId="0" fontId="17" fillId="0" borderId="0">
      <alignment vertical="center"/>
    </xf>
    <xf numFmtId="0" fontId="17" fillId="0" borderId="0">
      <alignment vertical="center"/>
    </xf>
    <xf numFmtId="167" fontId="17" fillId="0" borderId="0" applyFont="0" applyFill="0" applyBorder="0" applyAlignment="0" applyProtection="0"/>
    <xf numFmtId="10" fontId="17" fillId="0" borderId="0" applyFont="0" applyFill="0" applyBorder="0" applyAlignment="0" applyProtection="0"/>
    <xf numFmtId="0" fontId="17" fillId="0" borderId="0"/>
    <xf numFmtId="0" fontId="29" fillId="0" borderId="0"/>
    <xf numFmtId="164" fontId="29" fillId="0" borderId="0" applyFont="0" applyFill="0" applyBorder="0" applyAlignment="0" applyProtection="0"/>
    <xf numFmtId="9" fontId="29" fillId="0" borderId="0" applyFont="0" applyFill="0" applyBorder="0" applyAlignment="0" applyProtection="0"/>
    <xf numFmtId="165" fontId="32" fillId="0" borderId="0" applyFont="0" applyFill="0" applyBorder="0" applyAlignment="0" applyProtection="0"/>
    <xf numFmtId="0" fontId="33" fillId="0" borderId="0"/>
    <xf numFmtId="9"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17" fillId="0" borderId="0" applyFont="0" applyFill="0" applyBorder="0" applyAlignment="0" applyProtection="0"/>
    <xf numFmtId="43" fontId="32"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29" fillId="0" borderId="0"/>
    <xf numFmtId="0" fontId="32" fillId="0" borderId="0"/>
    <xf numFmtId="0" fontId="32" fillId="0" borderId="0"/>
    <xf numFmtId="0" fontId="29"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7" fillId="0" borderId="0" applyFont="0" applyFill="0" applyBorder="0" applyAlignment="0" applyProtection="0"/>
    <xf numFmtId="9" fontId="32" fillId="0" borderId="0" applyFont="0" applyFill="0" applyBorder="0" applyAlignment="0" applyProtection="0"/>
    <xf numFmtId="164" fontId="36"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17" fillId="0" borderId="0"/>
    <xf numFmtId="0" fontId="17" fillId="0" borderId="0"/>
    <xf numFmtId="0" fontId="6" fillId="0" borderId="0"/>
    <xf numFmtId="0" fontId="17" fillId="0" borderId="0" applyBorder="0" applyProtection="0"/>
    <xf numFmtId="167" fontId="32"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3" fillId="0" borderId="0"/>
    <xf numFmtId="164" fontId="3" fillId="0" borderId="0" applyFont="0" applyFill="0" applyBorder="0" applyAlignment="0" applyProtection="0"/>
    <xf numFmtId="165" fontId="17"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9" fillId="0" borderId="0" applyFont="0" applyFill="0" applyBorder="0" applyAlignment="0" applyProtection="0"/>
    <xf numFmtId="9" fontId="39" fillId="0" borderId="0" applyFont="0" applyFill="0" applyBorder="0" applyAlignment="0" applyProtection="0"/>
    <xf numFmtId="0" fontId="1" fillId="0" borderId="0"/>
  </cellStyleXfs>
  <cellXfs count="569">
    <xf numFmtId="0" fontId="0" fillId="0" borderId="0" xfId="0"/>
    <xf numFmtId="0" fontId="4" fillId="0" borderId="0" xfId="10" applyFont="1"/>
    <xf numFmtId="0" fontId="4" fillId="6" borderId="4" xfId="10" applyFont="1" applyFill="1" applyBorder="1"/>
    <xf numFmtId="0" fontId="7" fillId="6" borderId="4" xfId="10" applyFont="1" applyFill="1" applyBorder="1"/>
    <xf numFmtId="0" fontId="4" fillId="0" borderId="0" xfId="10" applyFont="1" applyFill="1"/>
    <xf numFmtId="0" fontId="4" fillId="0" borderId="4" xfId="10" applyFont="1" applyFill="1" applyBorder="1"/>
    <xf numFmtId="0" fontId="5" fillId="0" borderId="4" xfId="10" applyFont="1" applyFill="1" applyBorder="1"/>
    <xf numFmtId="0" fontId="12" fillId="5" borderId="0" xfId="10" applyFont="1" applyFill="1" applyBorder="1" applyAlignment="1">
      <alignment horizontal="center" vertical="center" wrapText="1"/>
    </xf>
    <xf numFmtId="0" fontId="11" fillId="5" borderId="0" xfId="10" applyFont="1" applyFill="1" applyBorder="1"/>
    <xf numFmtId="0" fontId="4" fillId="0" borderId="0" xfId="10" applyFont="1" applyBorder="1"/>
    <xf numFmtId="0" fontId="5" fillId="0" borderId="0" xfId="10" applyFont="1" applyFill="1" applyBorder="1" applyAlignment="1">
      <alignment horizontal="center"/>
    </xf>
    <xf numFmtId="0" fontId="10" fillId="0" borderId="0" xfId="10" applyFont="1"/>
    <xf numFmtId="0" fontId="4" fillId="0" borderId="0" xfId="10" applyFont="1" applyAlignment="1">
      <alignment horizontal="centerContinuous"/>
    </xf>
    <xf numFmtId="0" fontId="7" fillId="0" borderId="0" xfId="10" applyFont="1" applyBorder="1" applyAlignment="1">
      <alignment horizontal="center" vertical="top"/>
    </xf>
    <xf numFmtId="0" fontId="5" fillId="0" borderId="0" xfId="10" applyFont="1" applyBorder="1"/>
    <xf numFmtId="0" fontId="4" fillId="5" borderId="0" xfId="10" applyFont="1" applyFill="1" applyBorder="1"/>
    <xf numFmtId="0" fontId="5" fillId="0" borderId="0" xfId="10" applyFont="1" applyAlignment="1">
      <alignment horizontal="centerContinuous"/>
    </xf>
    <xf numFmtId="0" fontId="10" fillId="5" borderId="0" xfId="10" applyFont="1" applyFill="1" applyBorder="1" applyAlignment="1">
      <alignment horizontal="left"/>
    </xf>
    <xf numFmtId="0" fontId="14" fillId="0" borderId="0" xfId="10" applyFont="1"/>
    <xf numFmtId="0" fontId="5" fillId="5" borderId="0" xfId="10" applyFont="1" applyFill="1" applyBorder="1" applyAlignment="1">
      <alignment horizontal="left"/>
    </xf>
    <xf numFmtId="0" fontId="4" fillId="0" borderId="4" xfId="10" applyFont="1" applyBorder="1"/>
    <xf numFmtId="0" fontId="4" fillId="5" borderId="4" xfId="10" applyFont="1" applyFill="1" applyBorder="1"/>
    <xf numFmtId="0" fontId="5" fillId="0" borderId="0" xfId="14" applyFont="1" applyFill="1" applyBorder="1" applyAlignment="1">
      <alignment horizontal="center" vertical="center" wrapText="1"/>
    </xf>
    <xf numFmtId="0" fontId="5" fillId="4" borderId="4" xfId="10" applyFont="1" applyFill="1" applyBorder="1"/>
    <xf numFmtId="0" fontId="4" fillId="0" borderId="0" xfId="14" applyFont="1">
      <alignment vertical="center"/>
    </xf>
    <xf numFmtId="0" fontId="4" fillId="0" borderId="0" xfId="14" applyFont="1" applyAlignment="1">
      <alignment horizontal="centerContinuous" vertical="center"/>
    </xf>
    <xf numFmtId="0" fontId="5" fillId="0" borderId="0" xfId="10" applyFont="1" applyBorder="1" applyAlignment="1">
      <alignment horizontal="centerContinuous" vertical="top"/>
    </xf>
    <xf numFmtId="0" fontId="4" fillId="0" borderId="0" xfId="10" applyFont="1" applyBorder="1" applyAlignment="1">
      <alignment horizontal="centerContinuous"/>
    </xf>
    <xf numFmtId="0" fontId="5" fillId="0" borderId="0" xfId="10" applyFont="1" applyBorder="1" applyAlignment="1">
      <alignment horizontal="centerContinuous"/>
    </xf>
    <xf numFmtId="0" fontId="5" fillId="0" borderId="0" xfId="14" applyFont="1" applyAlignment="1">
      <alignment horizontal="right" vertical="center"/>
    </xf>
    <xf numFmtId="0" fontId="5" fillId="0" borderId="0" xfId="14" applyFont="1">
      <alignment vertical="center"/>
    </xf>
    <xf numFmtId="0" fontId="4" fillId="7" borderId="0" xfId="14" applyFont="1" applyFill="1" applyBorder="1">
      <alignment vertical="center"/>
    </xf>
    <xf numFmtId="0" fontId="4" fillId="0" borderId="4" xfId="14" applyFont="1" applyBorder="1">
      <alignment vertical="center"/>
    </xf>
    <xf numFmtId="0" fontId="5" fillId="5" borderId="4" xfId="10" applyFont="1" applyFill="1" applyBorder="1" applyAlignment="1" applyProtection="1">
      <alignment horizontal="left"/>
    </xf>
    <xf numFmtId="0" fontId="4" fillId="5" borderId="4" xfId="10" applyFont="1" applyFill="1" applyBorder="1" applyAlignment="1" applyProtection="1">
      <alignment horizontal="left"/>
    </xf>
    <xf numFmtId="0" fontId="5" fillId="0" borderId="4" xfId="14" applyFont="1" applyBorder="1">
      <alignment vertical="center"/>
    </xf>
    <xf numFmtId="0" fontId="4" fillId="5" borderId="4" xfId="10" quotePrefix="1" applyFont="1" applyFill="1" applyBorder="1" applyAlignment="1">
      <alignment horizontal="left" vertical="top" wrapText="1"/>
    </xf>
    <xf numFmtId="0" fontId="4" fillId="5" borderId="4" xfId="10" applyFont="1" applyFill="1" applyBorder="1" applyAlignment="1" applyProtection="1">
      <alignment horizontal="left" wrapText="1"/>
    </xf>
    <xf numFmtId="0" fontId="15" fillId="0" borderId="0" xfId="10" applyFont="1" applyAlignment="1">
      <alignment horizontal="center" vertical="center"/>
    </xf>
    <xf numFmtId="0" fontId="16" fillId="0" borderId="0" xfId="14" applyFont="1">
      <alignment vertical="center"/>
    </xf>
    <xf numFmtId="0" fontId="9" fillId="0" borderId="0" xfId="14" applyFont="1" applyAlignment="1">
      <alignment horizontal="right" vertical="center"/>
    </xf>
    <xf numFmtId="0" fontId="4" fillId="7" borderId="4" xfId="14" applyFont="1" applyFill="1" applyBorder="1">
      <alignment vertical="center"/>
    </xf>
    <xf numFmtId="0" fontId="4" fillId="0" borderId="0" xfId="14" applyFont="1" applyAlignment="1">
      <alignment vertical="center"/>
    </xf>
    <xf numFmtId="0" fontId="4" fillId="0" borderId="0" xfId="10" applyFont="1" applyBorder="1" applyAlignment="1">
      <alignment horizontal="center" vertical="top"/>
    </xf>
    <xf numFmtId="0" fontId="4" fillId="0" borderId="0" xfId="10" applyFont="1" applyBorder="1" applyAlignment="1"/>
    <xf numFmtId="0" fontId="4" fillId="0" borderId="0" xfId="10" applyFont="1" applyBorder="1" applyAlignment="1">
      <alignment vertical="top"/>
    </xf>
    <xf numFmtId="0" fontId="4" fillId="0" borderId="4" xfId="10" applyFont="1" applyBorder="1" applyAlignment="1">
      <alignment vertical="top"/>
    </xf>
    <xf numFmtId="0" fontId="4" fillId="0" borderId="4" xfId="10" applyFont="1" applyBorder="1" applyAlignment="1"/>
    <xf numFmtId="0" fontId="5" fillId="5" borderId="4" xfId="14" applyFont="1" applyFill="1" applyBorder="1" applyAlignment="1">
      <alignment horizontal="center" vertical="center" wrapText="1"/>
    </xf>
    <xf numFmtId="0" fontId="5" fillId="0" borderId="4" xfId="10" applyFont="1" applyBorder="1"/>
    <xf numFmtId="0" fontId="25" fillId="0" borderId="0" xfId="10" applyFont="1" applyFill="1" applyBorder="1" applyProtection="1"/>
    <xf numFmtId="0" fontId="4" fillId="0" borderId="0" xfId="10" applyFont="1" applyFill="1" applyBorder="1" applyProtection="1"/>
    <xf numFmtId="166" fontId="4" fillId="0" borderId="0" xfId="10" applyNumberFormat="1" applyFont="1" applyFill="1" applyBorder="1" applyAlignment="1" applyProtection="1">
      <alignment horizontal="center"/>
    </xf>
    <xf numFmtId="0" fontId="5" fillId="0" borderId="0" xfId="10" applyFont="1"/>
    <xf numFmtId="0" fontId="4" fillId="0" borderId="0" xfId="10" applyFont="1" applyBorder="1" applyAlignment="1">
      <alignment horizontal="left"/>
    </xf>
    <xf numFmtId="0" fontId="4" fillId="0" borderId="0" xfId="10" applyFont="1" applyBorder="1" applyAlignment="1">
      <alignment horizontal="center"/>
    </xf>
    <xf numFmtId="0" fontId="5" fillId="0" borderId="0" xfId="10" applyFont="1" applyBorder="1" applyAlignment="1">
      <alignment horizontal="left"/>
    </xf>
    <xf numFmtId="0" fontId="5" fillId="0" borderId="0" xfId="14" applyFont="1" applyFill="1" applyBorder="1" applyAlignment="1">
      <alignment vertical="center" wrapText="1"/>
    </xf>
    <xf numFmtId="0" fontId="5" fillId="0" borderId="4" xfId="10" applyFont="1" applyFill="1" applyBorder="1" applyProtection="1"/>
    <xf numFmtId="0" fontId="4" fillId="0" borderId="4" xfId="10" applyFont="1" applyFill="1" applyBorder="1" applyAlignment="1" applyProtection="1">
      <alignment horizontal="left"/>
    </xf>
    <xf numFmtId="0" fontId="4" fillId="5" borderId="4" xfId="10" applyFont="1" applyFill="1" applyBorder="1" applyAlignment="1" applyProtection="1">
      <alignment vertical="top" wrapText="1"/>
    </xf>
    <xf numFmtId="0" fontId="5" fillId="5" borderId="4" xfId="10" applyFont="1" applyFill="1" applyBorder="1" applyAlignment="1" applyProtection="1">
      <alignment vertical="top" wrapText="1"/>
    </xf>
    <xf numFmtId="0" fontId="5" fillId="5" borderId="4" xfId="10" applyFont="1" applyFill="1" applyBorder="1" applyAlignment="1">
      <alignment horizontal="left" vertical="top" wrapText="1"/>
    </xf>
    <xf numFmtId="0" fontId="5" fillId="0" borderId="0" xfId="10" applyFont="1" applyBorder="1" applyAlignment="1">
      <alignment horizontal="right"/>
    </xf>
    <xf numFmtId="0" fontId="4" fillId="0" borderId="0" xfId="14" applyFont="1" applyFill="1" applyBorder="1">
      <alignment vertical="center"/>
    </xf>
    <xf numFmtId="0" fontId="5" fillId="0" borderId="0" xfId="10" applyFont="1" applyBorder="1" applyAlignment="1">
      <alignment horizontal="justify" vertical="top" wrapText="1"/>
    </xf>
    <xf numFmtId="0" fontId="5" fillId="0" borderId="0" xfId="10" applyFont="1" applyBorder="1" applyAlignment="1">
      <alignment vertical="center"/>
    </xf>
    <xf numFmtId="0" fontId="5" fillId="0" borderId="0" xfId="10" applyFont="1" applyBorder="1" applyAlignment="1">
      <alignment horizontal="left" vertical="top"/>
    </xf>
    <xf numFmtId="0" fontId="28" fillId="0" borderId="0" xfId="10" applyFont="1" applyFill="1" applyBorder="1"/>
    <xf numFmtId="0" fontId="5" fillId="0" borderId="0" xfId="10" applyFont="1" applyBorder="1" applyAlignment="1">
      <alignment horizontal="center"/>
    </xf>
    <xf numFmtId="0" fontId="5" fillId="0" borderId="4" xfId="10" applyFont="1" applyBorder="1" applyAlignment="1">
      <alignment vertical="top"/>
    </xf>
    <xf numFmtId="0" fontId="6" fillId="0" borderId="0" xfId="14" applyFont="1">
      <alignment vertical="center"/>
    </xf>
    <xf numFmtId="0" fontId="7" fillId="0" borderId="0" xfId="14" applyFont="1">
      <alignment vertical="center"/>
    </xf>
    <xf numFmtId="0" fontId="6" fillId="0" borderId="0" xfId="14" applyFont="1" applyFill="1">
      <alignment vertical="center"/>
    </xf>
    <xf numFmtId="0" fontId="6" fillId="0" borderId="4" xfId="14" applyFont="1" applyFill="1" applyBorder="1">
      <alignment vertical="center"/>
    </xf>
    <xf numFmtId="0" fontId="7" fillId="0" borderId="0" xfId="14" applyFont="1" applyFill="1" applyBorder="1">
      <alignment vertical="center"/>
    </xf>
    <xf numFmtId="0" fontId="6" fillId="0" borderId="0" xfId="14" applyFont="1" applyFill="1" applyBorder="1">
      <alignment vertical="center"/>
    </xf>
    <xf numFmtId="0" fontId="4" fillId="7" borderId="0" xfId="10" applyFont="1" applyFill="1" applyBorder="1"/>
    <xf numFmtId="0" fontId="4" fillId="0" borderId="4" xfId="10" applyFont="1" applyFill="1" applyBorder="1" applyAlignment="1" applyProtection="1">
      <alignment vertical="top" wrapText="1"/>
    </xf>
    <xf numFmtId="0" fontId="4" fillId="0" borderId="4" xfId="10" applyFont="1" applyFill="1" applyBorder="1" applyAlignment="1" applyProtection="1">
      <alignment horizontal="left" vertical="top" wrapText="1"/>
    </xf>
    <xf numFmtId="0" fontId="4" fillId="0" borderId="4" xfId="10" applyFont="1" applyFill="1" applyBorder="1" applyAlignment="1">
      <alignment vertical="top"/>
    </xf>
    <xf numFmtId="0" fontId="28" fillId="0" borderId="0" xfId="14" applyFont="1" applyFill="1">
      <alignment vertical="center"/>
    </xf>
    <xf numFmtId="0" fontId="5" fillId="0" borderId="0" xfId="10" applyFont="1" applyBorder="1" applyAlignment="1"/>
    <xf numFmtId="0" fontId="5" fillId="0" borderId="0" xfId="14" applyFont="1" applyFill="1" applyBorder="1" applyAlignment="1">
      <alignment horizontal="left" vertical="center"/>
    </xf>
    <xf numFmtId="0" fontId="4" fillId="0" borderId="0" xfId="14" applyFont="1" applyAlignment="1">
      <alignment vertical="center" wrapText="1"/>
    </xf>
    <xf numFmtId="0" fontId="25" fillId="0" borderId="4" xfId="10" applyFont="1" applyBorder="1" applyAlignment="1">
      <alignment horizontal="left"/>
    </xf>
    <xf numFmtId="0" fontId="5" fillId="4" borderId="4" xfId="10" applyFont="1" applyFill="1" applyBorder="1" applyAlignment="1">
      <alignment horizontal="center" vertical="center" wrapText="1"/>
    </xf>
    <xf numFmtId="0" fontId="5" fillId="4" borderId="4" xfId="14" applyFont="1" applyFill="1" applyBorder="1" applyAlignment="1">
      <alignment horizontal="center" vertical="center" wrapText="1"/>
    </xf>
    <xf numFmtId="0" fontId="5" fillId="0" borderId="0" xfId="10" applyFont="1" applyBorder="1" applyAlignment="1">
      <alignment horizontal="center" vertical="top"/>
    </xf>
    <xf numFmtId="0" fontId="7" fillId="0" borderId="0" xfId="10" applyFont="1" applyBorder="1" applyAlignment="1">
      <alignment horizontal="center" vertical="center"/>
    </xf>
    <xf numFmtId="0" fontId="4" fillId="0" borderId="0" xfId="10" applyFont="1" applyBorder="1" applyAlignment="1">
      <alignment vertical="center"/>
    </xf>
    <xf numFmtId="0" fontId="4" fillId="0" borderId="4" xfId="10" applyFont="1" applyFill="1" applyBorder="1" applyAlignment="1" applyProtection="1">
      <alignment horizontal="left" vertical="center"/>
    </xf>
    <xf numFmtId="0" fontId="4" fillId="0" borderId="0" xfId="10" applyFont="1" applyFill="1" applyBorder="1" applyAlignment="1">
      <alignment vertical="center"/>
    </xf>
    <xf numFmtId="0" fontId="6" fillId="0" borderId="0" xfId="10" applyFont="1"/>
    <xf numFmtId="0" fontId="4" fillId="0" borderId="4" xfId="10" applyFont="1" applyBorder="1" applyAlignment="1">
      <alignment horizontal="center" vertical="top"/>
    </xf>
    <xf numFmtId="0" fontId="5" fillId="0" borderId="4" xfId="10" applyFont="1" applyFill="1" applyBorder="1" applyAlignment="1">
      <alignment horizontal="left"/>
    </xf>
    <xf numFmtId="0" fontId="24" fillId="0" borderId="4" xfId="10" applyFont="1" applyFill="1" applyBorder="1"/>
    <xf numFmtId="0" fontId="4" fillId="0" borderId="4" xfId="10" applyFont="1" applyFill="1" applyBorder="1" applyAlignment="1">
      <alignment horizontal="left"/>
    </xf>
    <xf numFmtId="0" fontId="13" fillId="6" borderId="4" xfId="10" applyFont="1" applyFill="1" applyBorder="1"/>
    <xf numFmtId="0" fontId="4" fillId="0" borderId="0" xfId="10" applyFont="1" applyAlignment="1">
      <alignment vertical="center"/>
    </xf>
    <xf numFmtId="0" fontId="5" fillId="0" borderId="4" xfId="10" applyFont="1" applyBorder="1" applyAlignment="1">
      <alignment horizontal="left" vertical="top"/>
    </xf>
    <xf numFmtId="0" fontId="4" fillId="0" borderId="0" xfId="14" applyFont="1" applyAlignment="1">
      <alignment horizontal="center" vertical="center"/>
    </xf>
    <xf numFmtId="0" fontId="4" fillId="0" borderId="4" xfId="14" applyFont="1" applyBorder="1" applyAlignment="1">
      <alignment horizontal="center" vertical="center"/>
    </xf>
    <xf numFmtId="0" fontId="5" fillId="0" borderId="4" xfId="14" applyFont="1" applyBorder="1" applyAlignment="1">
      <alignment horizontal="center" vertical="center"/>
    </xf>
    <xf numFmtId="0" fontId="10" fillId="0" borderId="0" xfId="14" applyFont="1" applyAlignment="1">
      <alignment horizontal="left" vertical="center"/>
    </xf>
    <xf numFmtId="0" fontId="4" fillId="0" borderId="4" xfId="14" applyFont="1" applyBorder="1" applyAlignment="1">
      <alignment vertical="top" wrapText="1"/>
    </xf>
    <xf numFmtId="0" fontId="4" fillId="0" borderId="4" xfId="14" applyFont="1" applyBorder="1" applyAlignment="1">
      <alignment horizontal="center" vertical="top" wrapText="1"/>
    </xf>
    <xf numFmtId="0" fontId="5" fillId="0" borderId="4" xfId="14" applyFont="1" applyBorder="1" applyAlignment="1">
      <alignment vertical="top" wrapText="1"/>
    </xf>
    <xf numFmtId="0" fontId="5" fillId="4" borderId="4" xfId="10" applyFont="1" applyFill="1" applyBorder="1" applyAlignment="1">
      <alignment vertical="top" wrapText="1"/>
    </xf>
    <xf numFmtId="16" fontId="5" fillId="4" borderId="4" xfId="10" applyNumberFormat="1" applyFont="1" applyFill="1" applyBorder="1" applyAlignment="1">
      <alignment horizontal="center" vertical="center" wrapText="1"/>
    </xf>
    <xf numFmtId="0" fontId="5" fillId="0" borderId="4" xfId="10" applyFont="1" applyFill="1" applyBorder="1" applyAlignment="1" applyProtection="1">
      <alignment vertical="top" wrapText="1"/>
    </xf>
    <xf numFmtId="0" fontId="5" fillId="0" borderId="4" xfId="10" applyFont="1" applyBorder="1" applyAlignment="1"/>
    <xf numFmtId="0" fontId="6" fillId="0" borderId="4" xfId="14" applyFont="1" applyFill="1" applyBorder="1" applyAlignment="1">
      <alignment horizontal="center" vertical="center"/>
    </xf>
    <xf numFmtId="0" fontId="7" fillId="0" borderId="4" xfId="10" applyFont="1" applyFill="1" applyBorder="1" applyAlignment="1">
      <alignment horizontal="center" vertical="center" wrapText="1"/>
    </xf>
    <xf numFmtId="0" fontId="7" fillId="0" borderId="4" xfId="10" applyFont="1" applyFill="1" applyBorder="1" applyAlignment="1">
      <alignment horizontal="center" vertical="center"/>
    </xf>
    <xf numFmtId="0" fontId="6" fillId="0" borderId="4" xfId="14" applyFont="1" applyBorder="1">
      <alignment vertical="center"/>
    </xf>
    <xf numFmtId="0" fontId="6" fillId="0" borderId="0" xfId="14" applyFont="1" applyAlignment="1">
      <alignment horizontal="center" vertical="center"/>
    </xf>
    <xf numFmtId="0" fontId="7" fillId="0" borderId="0" xfId="10" applyFont="1"/>
    <xf numFmtId="0" fontId="17" fillId="0" borderId="0" xfId="10" applyAlignment="1">
      <alignment vertical="center"/>
    </xf>
    <xf numFmtId="0" fontId="5" fillId="0" borderId="4" xfId="14" applyFont="1" applyBorder="1" applyAlignment="1">
      <alignment horizontal="center" vertical="top" wrapText="1"/>
    </xf>
    <xf numFmtId="0" fontId="4" fillId="0" borderId="4" xfId="10" applyFont="1" applyFill="1" applyBorder="1" applyAlignment="1">
      <alignment vertical="top" wrapText="1"/>
    </xf>
    <xf numFmtId="0" fontId="4" fillId="0" borderId="4" xfId="14" applyFont="1" applyFill="1" applyBorder="1">
      <alignment vertical="center"/>
    </xf>
    <xf numFmtId="0" fontId="4" fillId="0" borderId="4" xfId="14" applyFont="1" applyFill="1" applyBorder="1" applyAlignment="1">
      <alignment vertical="top" wrapText="1"/>
    </xf>
    <xf numFmtId="0" fontId="4" fillId="0" borderId="0" xfId="15" applyFont="1" applyAlignment="1">
      <alignment vertical="center"/>
    </xf>
    <xf numFmtId="0" fontId="16" fillId="0" borderId="4" xfId="14" applyFont="1" applyBorder="1">
      <alignment vertical="center"/>
    </xf>
    <xf numFmtId="0" fontId="16" fillId="0" borderId="4" xfId="14" applyFont="1" applyBorder="1" applyAlignment="1">
      <alignment horizontal="center" vertical="center"/>
    </xf>
    <xf numFmtId="0" fontId="16" fillId="0" borderId="4" xfId="14" applyFont="1" applyFill="1" applyBorder="1" applyAlignment="1">
      <alignment horizontal="left" vertical="center"/>
    </xf>
    <xf numFmtId="0" fontId="16" fillId="0" borderId="4" xfId="14" applyFont="1" applyFill="1" applyBorder="1" applyAlignment="1">
      <alignment vertical="top" wrapText="1"/>
    </xf>
    <xf numFmtId="0" fontId="16" fillId="0" borderId="4" xfId="14" applyFont="1" applyBorder="1" applyAlignment="1">
      <alignment vertical="top" wrapText="1"/>
    </xf>
    <xf numFmtId="0" fontId="31" fillId="0" borderId="4" xfId="19" applyFont="1" applyBorder="1" applyAlignment="1">
      <alignment vertical="center"/>
    </xf>
    <xf numFmtId="0" fontId="31" fillId="0" borderId="4" xfId="19" applyFont="1" applyBorder="1" applyAlignment="1">
      <alignment horizontal="center" vertical="center"/>
    </xf>
    <xf numFmtId="0" fontId="30" fillId="0" borderId="4" xfId="19" applyFont="1" applyBorder="1" applyAlignment="1">
      <alignment vertical="center"/>
    </xf>
    <xf numFmtId="0" fontId="30" fillId="0" borderId="4" xfId="19" applyFont="1" applyBorder="1" applyAlignment="1">
      <alignment horizontal="center" vertical="center"/>
    </xf>
    <xf numFmtId="0" fontId="5" fillId="0" borderId="4" xfId="10" applyFont="1" applyBorder="1" applyAlignment="1">
      <alignment horizontal="center" vertical="center"/>
    </xf>
    <xf numFmtId="0" fontId="4" fillId="0" borderId="4" xfId="10" applyFont="1" applyBorder="1" applyAlignment="1">
      <alignment horizontal="center"/>
    </xf>
    <xf numFmtId="0" fontId="17" fillId="0" borderId="0" xfId="10" applyAlignment="1">
      <alignment horizontal="center" vertical="center"/>
    </xf>
    <xf numFmtId="0" fontId="5" fillId="0" borderId="0" xfId="14" applyFont="1" applyAlignment="1">
      <alignment horizontal="center" vertical="center"/>
    </xf>
    <xf numFmtId="0" fontId="17" fillId="0" borderId="4" xfId="10" applyBorder="1" applyAlignment="1">
      <alignment horizontal="center" vertical="center"/>
    </xf>
    <xf numFmtId="0" fontId="17" fillId="0" borderId="4" xfId="10" applyBorder="1" applyAlignment="1">
      <alignment horizontal="center" vertical="center" wrapText="1"/>
    </xf>
    <xf numFmtId="0" fontId="5" fillId="0" borderId="0" xfId="14" applyFont="1" applyFill="1" applyBorder="1" applyAlignment="1">
      <alignment horizontal="center" vertical="center" wrapText="1"/>
    </xf>
    <xf numFmtId="0" fontId="5" fillId="4" borderId="4" xfId="14" applyFont="1" applyFill="1" applyBorder="1" applyAlignment="1">
      <alignment horizontal="center" vertical="center" wrapText="1"/>
    </xf>
    <xf numFmtId="0" fontId="4" fillId="5" borderId="4" xfId="10" applyFont="1" applyFill="1" applyBorder="1" applyAlignment="1">
      <alignment horizontal="center" vertical="top"/>
    </xf>
    <xf numFmtId="0" fontId="4" fillId="5" borderId="4" xfId="14" applyFont="1" applyFill="1" applyBorder="1">
      <alignment vertical="center"/>
    </xf>
    <xf numFmtId="0" fontId="5" fillId="5" borderId="4" xfId="10" applyFont="1" applyFill="1" applyBorder="1" applyAlignment="1" applyProtection="1">
      <alignment horizontal="left" vertical="top" wrapText="1"/>
    </xf>
    <xf numFmtId="0" fontId="4" fillId="5" borderId="4" xfId="10" applyFont="1" applyFill="1" applyBorder="1" applyAlignment="1">
      <alignment horizontal="center"/>
    </xf>
    <xf numFmtId="0" fontId="5" fillId="5" borderId="4" xfId="10" applyFont="1" applyFill="1" applyBorder="1" applyAlignment="1">
      <alignment horizontal="center"/>
    </xf>
    <xf numFmtId="0" fontId="5" fillId="5" borderId="4" xfId="14" quotePrefix="1" applyFont="1" applyFill="1" applyBorder="1" applyAlignment="1">
      <alignment horizontal="center" vertical="center" wrapText="1"/>
    </xf>
    <xf numFmtId="0" fontId="5" fillId="5" borderId="4" xfId="14" applyFont="1" applyFill="1" applyBorder="1" applyAlignment="1">
      <alignment horizontal="left" vertical="center" wrapText="1"/>
    </xf>
    <xf numFmtId="0" fontId="4" fillId="5" borderId="4" xfId="14" quotePrefix="1" applyFont="1" applyFill="1" applyBorder="1" applyAlignment="1">
      <alignment horizontal="center" vertical="center" wrapText="1"/>
    </xf>
    <xf numFmtId="0" fontId="4" fillId="5" borderId="4" xfId="14" applyFont="1" applyFill="1" applyBorder="1" applyAlignment="1">
      <alignment horizontal="center" vertical="center" wrapText="1"/>
    </xf>
    <xf numFmtId="0" fontId="4" fillId="7" borderId="4" xfId="14" applyFont="1" applyFill="1" applyBorder="1" applyAlignment="1">
      <alignment horizontal="left" vertical="center" wrapText="1"/>
    </xf>
    <xf numFmtId="0" fontId="4" fillId="7" borderId="4" xfId="14" applyFont="1" applyFill="1" applyBorder="1" applyAlignment="1">
      <alignment vertical="center" wrapText="1"/>
    </xf>
    <xf numFmtId="0" fontId="4" fillId="5" borderId="4" xfId="14" applyFont="1" applyFill="1" applyBorder="1" applyAlignment="1">
      <alignment horizontal="left" vertical="center" wrapText="1"/>
    </xf>
    <xf numFmtId="0" fontId="5" fillId="0" borderId="4" xfId="10" applyFont="1" applyBorder="1" applyAlignment="1">
      <alignment horizontal="center"/>
    </xf>
    <xf numFmtId="0" fontId="5" fillId="0" borderId="4" xfId="10" applyFont="1" applyBorder="1" applyAlignment="1">
      <alignment vertical="top" wrapText="1"/>
    </xf>
    <xf numFmtId="0" fontId="5" fillId="7" borderId="4" xfId="10" applyFont="1" applyFill="1" applyBorder="1" applyAlignment="1">
      <alignment vertical="top"/>
    </xf>
    <xf numFmtId="0" fontId="17" fillId="5" borderId="4" xfId="10" applyFill="1" applyBorder="1" applyAlignment="1">
      <alignment horizontal="center" vertical="center"/>
    </xf>
    <xf numFmtId="0" fontId="4" fillId="0" borderId="4" xfId="10" applyFont="1" applyFill="1" applyBorder="1" applyProtection="1"/>
    <xf numFmtId="0" fontId="5" fillId="5" borderId="4" xfId="10" applyFont="1" applyFill="1" applyBorder="1"/>
    <xf numFmtId="0" fontId="5" fillId="5" borderId="4" xfId="10" applyFont="1" applyFill="1" applyBorder="1" applyAlignment="1">
      <alignment horizontal="center" vertical="center"/>
    </xf>
    <xf numFmtId="0" fontId="4" fillId="0" borderId="4" xfId="10" applyFont="1" applyFill="1" applyBorder="1" applyAlignment="1" applyProtection="1">
      <alignment wrapText="1"/>
    </xf>
    <xf numFmtId="0" fontId="5" fillId="5" borderId="4" xfId="10" applyFont="1" applyFill="1" applyBorder="1" applyAlignment="1">
      <alignment horizontal="center" vertical="top"/>
    </xf>
    <xf numFmtId="0" fontId="4" fillId="5" borderId="4" xfId="14" applyFont="1" applyFill="1" applyBorder="1" applyAlignment="1">
      <alignment vertical="center" wrapText="1"/>
    </xf>
    <xf numFmtId="0" fontId="4" fillId="0" borderId="4" xfId="14" applyFont="1" applyFill="1" applyBorder="1" applyAlignment="1">
      <alignment vertical="center" wrapText="1"/>
    </xf>
    <xf numFmtId="0" fontId="5" fillId="5" borderId="4" xfId="10" quotePrefix="1" applyFont="1" applyFill="1" applyBorder="1" applyAlignment="1">
      <alignment horizontal="center" vertical="top" wrapText="1"/>
    </xf>
    <xf numFmtId="0" fontId="5" fillId="0" borderId="0" xfId="10" applyFont="1" applyBorder="1" applyAlignment="1">
      <alignment horizontal="left" vertical="center"/>
    </xf>
    <xf numFmtId="0" fontId="5" fillId="0" borderId="0" xfId="10" applyFont="1" applyBorder="1" applyAlignment="1">
      <alignment horizontal="centerContinuous" vertical="center"/>
    </xf>
    <xf numFmtId="0" fontId="4" fillId="0" borderId="0" xfId="10" applyFont="1" applyBorder="1" applyAlignment="1">
      <alignment horizontal="centerContinuous" vertical="center"/>
    </xf>
    <xf numFmtId="0" fontId="4" fillId="5" borderId="4" xfId="10" applyFont="1" applyFill="1" applyBorder="1" applyAlignment="1">
      <alignment horizontal="center" vertical="center"/>
    </xf>
    <xf numFmtId="0" fontId="4" fillId="5" borderId="4" xfId="10" applyFont="1" applyFill="1" applyBorder="1" applyAlignment="1" applyProtection="1">
      <alignment vertical="center" wrapText="1"/>
    </xf>
    <xf numFmtId="0" fontId="5" fillId="5" borderId="4" xfId="10" applyFont="1" applyFill="1" applyBorder="1" applyAlignment="1" applyProtection="1">
      <alignment horizontal="left" vertical="center" wrapText="1"/>
    </xf>
    <xf numFmtId="0" fontId="4" fillId="0" borderId="4" xfId="10" applyFont="1" applyBorder="1" applyAlignment="1">
      <alignment vertical="center"/>
    </xf>
    <xf numFmtId="0" fontId="4" fillId="0" borderId="4" xfId="10" applyFont="1" applyBorder="1" applyAlignment="1">
      <alignment horizontal="center" vertical="center"/>
    </xf>
    <xf numFmtId="0" fontId="5" fillId="5" borderId="4" xfId="10" applyFont="1" applyFill="1" applyBorder="1" applyAlignment="1" applyProtection="1">
      <alignment vertical="center" wrapText="1"/>
    </xf>
    <xf numFmtId="0" fontId="31" fillId="7" borderId="9" xfId="10" applyFont="1" applyFill="1" applyBorder="1"/>
    <xf numFmtId="0" fontId="31" fillId="7" borderId="11" xfId="10" applyFont="1" applyFill="1" applyBorder="1"/>
    <xf numFmtId="0" fontId="31" fillId="7" borderId="0" xfId="10" applyFont="1" applyFill="1" applyBorder="1"/>
    <xf numFmtId="0" fontId="31" fillId="7" borderId="0" xfId="10" applyFont="1" applyFill="1"/>
    <xf numFmtId="0" fontId="31" fillId="7" borderId="12" xfId="10" applyFont="1" applyFill="1" applyBorder="1"/>
    <xf numFmtId="0" fontId="31" fillId="7" borderId="4" xfId="10" applyFont="1" applyFill="1" applyBorder="1" applyAlignment="1">
      <alignment vertical="center"/>
    </xf>
    <xf numFmtId="0" fontId="31" fillId="7" borderId="4" xfId="10" applyFont="1" applyFill="1" applyBorder="1" applyAlignment="1">
      <alignment horizontal="center" vertical="center"/>
    </xf>
    <xf numFmtId="0" fontId="30" fillId="7" borderId="4" xfId="10" applyFont="1" applyFill="1" applyBorder="1" applyAlignment="1">
      <alignment vertical="center"/>
    </xf>
    <xf numFmtId="0" fontId="30" fillId="7" borderId="0" xfId="10" applyFont="1" applyFill="1" applyBorder="1" applyAlignment="1"/>
    <xf numFmtId="0" fontId="30" fillId="7" borderId="4" xfId="10" applyFont="1" applyFill="1" applyBorder="1" applyAlignment="1">
      <alignment horizontal="center" vertical="center"/>
    </xf>
    <xf numFmtId="0" fontId="30" fillId="7" borderId="4" xfId="10" applyFont="1" applyFill="1" applyBorder="1" applyAlignment="1">
      <alignment horizontal="center"/>
    </xf>
    <xf numFmtId="0" fontId="30" fillId="7" borderId="4" xfId="10" applyFont="1" applyFill="1" applyBorder="1" applyAlignment="1"/>
    <xf numFmtId="0" fontId="31" fillId="7" borderId="4" xfId="10" applyFont="1" applyFill="1" applyBorder="1" applyAlignment="1"/>
    <xf numFmtId="0" fontId="31" fillId="7" borderId="0" xfId="10" applyFont="1" applyFill="1" applyAlignment="1"/>
    <xf numFmtId="0" fontId="5" fillId="5" borderId="0" xfId="14" applyFont="1" applyFill="1" applyBorder="1" applyAlignment="1">
      <alignment horizontal="center" vertical="center" wrapText="1"/>
    </xf>
    <xf numFmtId="0" fontId="5" fillId="5" borderId="0" xfId="14" applyFont="1" applyFill="1" applyBorder="1" applyAlignment="1">
      <alignment horizontal="left" vertical="center" wrapText="1"/>
    </xf>
    <xf numFmtId="0" fontId="4" fillId="5" borderId="0" xfId="14" quotePrefix="1" applyFont="1" applyFill="1" applyBorder="1" applyAlignment="1">
      <alignment horizontal="center" vertical="center" wrapText="1"/>
    </xf>
    <xf numFmtId="0" fontId="5" fillId="7" borderId="4" xfId="14" applyFont="1" applyFill="1" applyBorder="1" applyAlignment="1">
      <alignment horizontal="left" vertical="center" wrapText="1"/>
    </xf>
    <xf numFmtId="0" fontId="5" fillId="7" borderId="4" xfId="14" applyFont="1" applyFill="1" applyBorder="1" applyAlignment="1">
      <alignment vertical="center" wrapText="1"/>
    </xf>
    <xf numFmtId="0" fontId="5" fillId="5" borderId="4" xfId="14" applyFont="1" applyFill="1" applyBorder="1" applyAlignment="1">
      <alignment horizontal="left" vertical="center"/>
    </xf>
    <xf numFmtId="0" fontId="4" fillId="0" borderId="0" xfId="14" applyFont="1" applyAlignment="1"/>
    <xf numFmtId="0" fontId="5" fillId="5" borderId="4" xfId="14" quotePrefix="1" applyFont="1" applyFill="1" applyBorder="1" applyAlignment="1">
      <alignment horizontal="center" wrapText="1"/>
    </xf>
    <xf numFmtId="0" fontId="5" fillId="5" borderId="4" xfId="14" applyFont="1" applyFill="1" applyBorder="1" applyAlignment="1">
      <alignment horizontal="center" wrapText="1"/>
    </xf>
    <xf numFmtId="0" fontId="4" fillId="5" borderId="4" xfId="14" applyFont="1" applyFill="1" applyBorder="1" applyAlignment="1">
      <alignment horizontal="center" wrapText="1"/>
    </xf>
    <xf numFmtId="2" fontId="4" fillId="5" borderId="4" xfId="14" applyNumberFormat="1" applyFont="1" applyFill="1" applyBorder="1" applyAlignment="1">
      <alignment horizontal="center" wrapText="1"/>
    </xf>
    <xf numFmtId="0" fontId="4" fillId="5" borderId="4" xfId="10" applyFont="1" applyFill="1" applyBorder="1" applyAlignment="1">
      <alignment vertical="center"/>
    </xf>
    <xf numFmtId="0" fontId="4" fillId="0" borderId="4" xfId="10" applyFont="1" applyFill="1" applyBorder="1" applyAlignment="1" applyProtection="1">
      <alignment horizontal="center" vertical="center"/>
    </xf>
    <xf numFmtId="0" fontId="26" fillId="0" borderId="4" xfId="14" applyFont="1" applyFill="1" applyBorder="1" applyAlignment="1">
      <alignment horizontal="center" vertical="center"/>
    </xf>
    <xf numFmtId="0" fontId="17" fillId="0" borderId="4" xfId="10" applyFill="1" applyBorder="1" applyAlignment="1">
      <alignment horizontal="center" vertical="center" wrapText="1"/>
    </xf>
    <xf numFmtId="0" fontId="5" fillId="0" borderId="4" xfId="10" applyFont="1" applyFill="1" applyBorder="1" applyAlignment="1" applyProtection="1">
      <alignment horizontal="left" vertical="center" wrapText="1"/>
    </xf>
    <xf numFmtId="0" fontId="5" fillId="0" borderId="4" xfId="10" applyFont="1" applyFill="1" applyBorder="1" applyAlignment="1" applyProtection="1">
      <alignment horizontal="center" vertical="center" wrapText="1"/>
    </xf>
    <xf numFmtId="0" fontId="5" fillId="0" borderId="4" xfId="10" applyFont="1" applyFill="1" applyBorder="1" applyAlignment="1" applyProtection="1">
      <alignment horizontal="left" vertical="center"/>
    </xf>
    <xf numFmtId="0" fontId="4" fillId="0" borderId="4" xfId="10" applyFont="1" applyBorder="1" applyAlignment="1">
      <alignment vertical="top" wrapText="1"/>
    </xf>
    <xf numFmtId="0" fontId="5" fillId="0" borderId="4" xfId="10" applyFont="1" applyBorder="1" applyAlignment="1">
      <alignment horizontal="center" vertical="top"/>
    </xf>
    <xf numFmtId="0" fontId="4" fillId="4" borderId="4" xfId="10" applyFont="1" applyFill="1" applyBorder="1" applyAlignment="1">
      <alignment horizontal="center"/>
    </xf>
    <xf numFmtId="0" fontId="4" fillId="7" borderId="4" xfId="10" applyFont="1" applyFill="1" applyBorder="1" applyAlignment="1" applyProtection="1">
      <alignment horizontal="left"/>
    </xf>
    <xf numFmtId="0" fontId="4" fillId="5" borderId="4" xfId="10" applyFont="1" applyFill="1" applyBorder="1" applyAlignment="1">
      <alignment horizontal="left" vertical="top" wrapText="1"/>
    </xf>
    <xf numFmtId="0" fontId="35" fillId="7" borderId="4" xfId="13" applyFont="1" applyFill="1" applyBorder="1"/>
    <xf numFmtId="0" fontId="5" fillId="4" borderId="7" xfId="14" applyFont="1" applyFill="1" applyBorder="1" applyAlignment="1">
      <alignment vertical="center" wrapText="1"/>
    </xf>
    <xf numFmtId="0" fontId="5" fillId="4" borderId="7" xfId="14" applyFont="1" applyFill="1" applyBorder="1" applyAlignment="1">
      <alignment vertical="center"/>
    </xf>
    <xf numFmtId="0" fontId="12" fillId="0" borderId="0" xfId="10" applyFont="1" applyFill="1" applyBorder="1"/>
    <xf numFmtId="0" fontId="6" fillId="0" borderId="0" xfId="10" applyFont="1" applyFill="1" applyBorder="1"/>
    <xf numFmtId="0" fontId="7" fillId="8" borderId="7" xfId="0" applyFont="1" applyFill="1" applyBorder="1" applyAlignment="1">
      <alignment horizontal="center" vertical="center" wrapText="1"/>
    </xf>
    <xf numFmtId="0" fontId="7" fillId="8"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4" xfId="0" applyFont="1" applyFill="1" applyBorder="1" applyAlignment="1">
      <alignment vertical="center" wrapText="1"/>
    </xf>
    <xf numFmtId="0" fontId="7" fillId="0" borderId="8" xfId="0" applyFont="1" applyFill="1" applyBorder="1" applyAlignment="1">
      <alignment vertical="center" wrapText="1"/>
    </xf>
    <xf numFmtId="0" fontId="7" fillId="0" borderId="4" xfId="0" applyFont="1" applyFill="1" applyBorder="1" applyAlignment="1">
      <alignment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vertical="center"/>
    </xf>
    <xf numFmtId="0" fontId="7" fillId="0" borderId="0" xfId="14" applyFont="1" applyFill="1">
      <alignment vertical="center"/>
    </xf>
    <xf numFmtId="0" fontId="5" fillId="4" borderId="4" xfId="10" applyFont="1" applyFill="1" applyBorder="1" applyAlignment="1">
      <alignment horizontal="center" vertical="center" wrapText="1"/>
    </xf>
    <xf numFmtId="0" fontId="4" fillId="9" borderId="4" xfId="14" applyFont="1" applyFill="1" applyBorder="1">
      <alignment vertical="center"/>
    </xf>
    <xf numFmtId="0" fontId="5" fillId="7" borderId="4" xfId="14" applyFont="1" applyFill="1" applyBorder="1" applyAlignment="1">
      <alignment horizontal="center" vertical="center"/>
    </xf>
    <xf numFmtId="0" fontId="4" fillId="0" borderId="0" xfId="14" applyFont="1" applyBorder="1" applyAlignment="1">
      <alignment horizontal="center" vertical="center"/>
    </xf>
    <xf numFmtId="0" fontId="4" fillId="5" borderId="0" xfId="10" quotePrefix="1" applyFont="1" applyFill="1" applyBorder="1" applyAlignment="1">
      <alignment horizontal="left" vertical="top" wrapText="1"/>
    </xf>
    <xf numFmtId="0" fontId="4" fillId="0" borderId="0" xfId="14" applyFont="1" applyBorder="1">
      <alignment vertical="center"/>
    </xf>
    <xf numFmtId="0" fontId="6" fillId="7" borderId="4" xfId="0" applyFont="1" applyFill="1" applyBorder="1" applyAlignment="1">
      <alignment vertical="center" wrapText="1"/>
    </xf>
    <xf numFmtId="0" fontId="5" fillId="0" borderId="0" xfId="14" applyFont="1" applyBorder="1">
      <alignment vertical="center"/>
    </xf>
    <xf numFmtId="0" fontId="16" fillId="0" borderId="4" xfId="14" applyFont="1" applyBorder="1" applyAlignment="1">
      <alignment vertical="top"/>
    </xf>
    <xf numFmtId="0" fontId="5" fillId="4" borderId="4" xfId="14" applyFont="1" applyFill="1" applyBorder="1" applyAlignment="1">
      <alignment horizontal="center" vertical="center" wrapText="1"/>
    </xf>
    <xf numFmtId="0" fontId="5" fillId="4" borderId="4" xfId="10" applyFont="1" applyFill="1" applyBorder="1" applyAlignment="1">
      <alignment horizontal="center" vertical="center" wrapText="1"/>
    </xf>
    <xf numFmtId="0" fontId="7" fillId="4" borderId="4" xfId="10" applyFont="1" applyFill="1" applyBorder="1" applyAlignment="1">
      <alignment horizontal="center" vertical="center" wrapText="1"/>
    </xf>
    <xf numFmtId="0" fontId="7" fillId="0" borderId="0" xfId="10" applyFont="1" applyBorder="1" applyAlignment="1">
      <alignment horizontal="center" vertical="center" wrapText="1"/>
    </xf>
    <xf numFmtId="0" fontId="5" fillId="0" borderId="0" xfId="15" applyFont="1" applyAlignment="1">
      <alignment vertical="center" wrapText="1"/>
    </xf>
    <xf numFmtId="0" fontId="5" fillId="0" borderId="0" xfId="15" applyFont="1" applyAlignment="1">
      <alignment horizontal="center" vertical="center"/>
    </xf>
    <xf numFmtId="0" fontId="5" fillId="7" borderId="0" xfId="10" applyFont="1" applyFill="1" applyBorder="1" applyAlignment="1">
      <alignment horizontal="center"/>
    </xf>
    <xf numFmtId="0" fontId="5" fillId="6" borderId="4" xfId="10" applyFont="1" applyFill="1" applyBorder="1"/>
    <xf numFmtId="0" fontId="31" fillId="7" borderId="0" xfId="10" applyFont="1" applyFill="1" applyAlignment="1">
      <alignment vertical="center"/>
    </xf>
    <xf numFmtId="0" fontId="5" fillId="4" borderId="4" xfId="14" applyFont="1" applyFill="1" applyBorder="1" applyAlignment="1">
      <alignment horizontal="center" vertical="center" wrapText="1"/>
    </xf>
    <xf numFmtId="0" fontId="5" fillId="4" borderId="5" xfId="14" applyFont="1" applyFill="1" applyBorder="1" applyAlignment="1">
      <alignment horizontal="center" vertical="center" wrapText="1"/>
    </xf>
    <xf numFmtId="0" fontId="5" fillId="4" borderId="4" xfId="10" applyFont="1" applyFill="1" applyBorder="1" applyAlignment="1">
      <alignment horizontal="center" vertical="center" wrapText="1"/>
    </xf>
    <xf numFmtId="0" fontId="5" fillId="0" borderId="0" xfId="10" applyFont="1" applyFill="1" applyBorder="1" applyAlignment="1" applyProtection="1">
      <alignment vertical="top" wrapText="1"/>
    </xf>
    <xf numFmtId="0" fontId="26" fillId="0" borderId="0" xfId="10" applyFont="1"/>
    <xf numFmtId="0" fontId="37" fillId="0" borderId="0" xfId="10" applyFont="1"/>
    <xf numFmtId="0" fontId="4" fillId="0" borderId="4" xfId="14" applyFont="1" applyFill="1" applyBorder="1" applyAlignment="1">
      <alignment horizontal="center" vertical="center"/>
    </xf>
    <xf numFmtId="0" fontId="5" fillId="0" borderId="4" xfId="10" applyFont="1" applyFill="1" applyBorder="1" applyAlignment="1">
      <alignment horizontal="center" vertical="center" wrapText="1"/>
    </xf>
    <xf numFmtId="0" fontId="5" fillId="0" borderId="4" xfId="10" applyFont="1" applyFill="1" applyBorder="1" applyAlignment="1">
      <alignment horizontal="center" vertical="center"/>
    </xf>
    <xf numFmtId="0" fontId="5" fillId="0" borderId="4" xfId="14" applyFont="1" applyFill="1" applyBorder="1">
      <alignment vertical="center"/>
    </xf>
    <xf numFmtId="0" fontId="26" fillId="0" borderId="0" xfId="10" applyFont="1" applyAlignment="1">
      <alignment vertical="center"/>
    </xf>
    <xf numFmtId="0" fontId="5" fillId="0" borderId="0" xfId="14" applyFont="1" applyBorder="1" applyAlignment="1">
      <alignment horizontal="center" vertical="top" wrapText="1"/>
    </xf>
    <xf numFmtId="0" fontId="5" fillId="0" borderId="0" xfId="14" applyFont="1" applyBorder="1" applyAlignment="1">
      <alignment vertical="top" wrapText="1"/>
    </xf>
    <xf numFmtId="0" fontId="4" fillId="0" borderId="4" xfId="14" applyFont="1" applyBorder="1" applyAlignment="1">
      <alignment horizontal="center" vertical="center" wrapText="1"/>
    </xf>
    <xf numFmtId="0" fontId="4" fillId="0" borderId="0" xfId="14" applyFont="1" applyAlignment="1">
      <alignment horizontal="left" vertical="center"/>
    </xf>
    <xf numFmtId="164" fontId="7" fillId="0" borderId="4" xfId="20" applyFont="1" applyBorder="1" applyAlignment="1">
      <alignment vertical="center"/>
    </xf>
    <xf numFmtId="0" fontId="31" fillId="0" borderId="4" xfId="19" applyFont="1" applyFill="1" applyBorder="1" applyAlignment="1">
      <alignment vertical="center"/>
    </xf>
    <xf numFmtId="0" fontId="4" fillId="0" borderId="4" xfId="14" applyFont="1" applyFill="1" applyBorder="1" applyAlignment="1">
      <alignment horizontal="left" vertical="center" wrapText="1"/>
    </xf>
    <xf numFmtId="0" fontId="5" fillId="4" borderId="4" xfId="10" applyFont="1" applyFill="1" applyBorder="1" applyAlignment="1">
      <alignment horizontal="center" vertical="center" wrapText="1"/>
    </xf>
    <xf numFmtId="0" fontId="5" fillId="0" borderId="0" xfId="10" applyFont="1" applyAlignment="1">
      <alignment horizontal="left"/>
    </xf>
    <xf numFmtId="0" fontId="5" fillId="0" borderId="0" xfId="10" applyFont="1" applyAlignment="1">
      <alignment horizontal="right"/>
    </xf>
    <xf numFmtId="0" fontId="4" fillId="0" borderId="4" xfId="10" applyFont="1" applyBorder="1" applyAlignment="1">
      <alignment horizontal="left" vertical="top"/>
    </xf>
    <xf numFmtId="0" fontId="4" fillId="7" borderId="4" xfId="10" applyFont="1" applyFill="1" applyBorder="1" applyAlignment="1">
      <alignment horizontal="left" vertical="top"/>
    </xf>
    <xf numFmtId="0" fontId="4" fillId="0" borderId="4" xfId="10" applyFont="1" applyBorder="1" applyAlignment="1">
      <alignment horizontal="left" vertical="top" wrapText="1"/>
    </xf>
    <xf numFmtId="0" fontId="4" fillId="7" borderId="4" xfId="10" applyFont="1" applyFill="1" applyBorder="1" applyAlignment="1">
      <alignment horizontal="left" vertical="top" wrapText="1"/>
    </xf>
    <xf numFmtId="0" fontId="27" fillId="0" borderId="4" xfId="10" applyFont="1" applyBorder="1"/>
    <xf numFmtId="0" fontId="5" fillId="4" borderId="4" xfId="31" applyFont="1" applyFill="1" applyBorder="1" applyAlignment="1">
      <alignment horizontal="center" vertical="center" wrapText="1"/>
    </xf>
    <xf numFmtId="0" fontId="25" fillId="0" borderId="0" xfId="10" applyFont="1" applyAlignment="1">
      <alignment horizontal="left"/>
    </xf>
    <xf numFmtId="0" fontId="5" fillId="4" borderId="4" xfId="31" quotePrefix="1" applyFont="1" applyFill="1" applyBorder="1" applyAlignment="1">
      <alignment horizontal="center" vertical="center" wrapText="1"/>
    </xf>
    <xf numFmtId="0" fontId="5" fillId="0" borderId="0" xfId="10" applyFont="1" applyAlignment="1">
      <alignment horizontal="left" vertical="top"/>
    </xf>
    <xf numFmtId="0" fontId="4" fillId="7" borderId="0" xfId="14" applyFont="1" applyFill="1">
      <alignment vertical="center"/>
    </xf>
    <xf numFmtId="0" fontId="4" fillId="0" borderId="4" xfId="0" applyFont="1" applyBorder="1" applyAlignment="1">
      <alignment vertical="top"/>
    </xf>
    <xf numFmtId="0" fontId="4" fillId="7" borderId="4" xfId="10" applyFont="1" applyFill="1" applyBorder="1"/>
    <xf numFmtId="0" fontId="16" fillId="7" borderId="4" xfId="14" applyFont="1" applyFill="1" applyBorder="1" applyAlignment="1">
      <alignment horizontal="center" vertical="center"/>
    </xf>
    <xf numFmtId="0" fontId="16" fillId="7" borderId="4" xfId="14" applyFont="1" applyFill="1" applyBorder="1">
      <alignment vertical="center"/>
    </xf>
    <xf numFmtId="0" fontId="16" fillId="7" borderId="4" xfId="14" applyFont="1" applyFill="1" applyBorder="1" applyAlignment="1">
      <alignment horizontal="left" vertical="center"/>
    </xf>
    <xf numFmtId="0" fontId="6" fillId="7" borderId="0" xfId="14" applyFont="1" applyFill="1">
      <alignment vertical="center"/>
    </xf>
    <xf numFmtId="0" fontId="5" fillId="8" borderId="4" xfId="10" applyFont="1" applyFill="1" applyBorder="1" applyAlignment="1">
      <alignment horizontal="center" vertical="center" wrapText="1"/>
    </xf>
    <xf numFmtId="0" fontId="4" fillId="7" borderId="4" xfId="14" applyFont="1" applyFill="1" applyBorder="1" applyAlignment="1">
      <alignment horizontal="left" vertical="center" wrapText="1" indent="1"/>
    </xf>
    <xf numFmtId="0" fontId="4" fillId="7" borderId="4" xfId="14" applyFont="1" applyFill="1" applyBorder="1" applyAlignment="1">
      <alignment horizontal="left" vertical="center" wrapText="1" indent="2"/>
    </xf>
    <xf numFmtId="0" fontId="5" fillId="0" borderId="0" xfId="14" applyFont="1" applyAlignment="1">
      <alignment horizontal="center" vertical="center"/>
    </xf>
    <xf numFmtId="0" fontId="5" fillId="4" borderId="4" xfId="14" applyFont="1" applyFill="1" applyBorder="1" applyAlignment="1">
      <alignment horizontal="center" vertical="center" wrapText="1"/>
    </xf>
    <xf numFmtId="0" fontId="5" fillId="8" borderId="4" xfId="14" applyFont="1" applyFill="1" applyBorder="1" applyAlignment="1">
      <alignment horizontal="center" vertical="center" wrapText="1"/>
    </xf>
    <xf numFmtId="0" fontId="5" fillId="4" borderId="4" xfId="10" applyFont="1" applyFill="1" applyBorder="1" applyAlignment="1">
      <alignment horizontal="center" vertical="center" wrapText="1"/>
    </xf>
    <xf numFmtId="2" fontId="4" fillId="5" borderId="4" xfId="14" applyNumberFormat="1" applyFont="1" applyFill="1" applyBorder="1" applyAlignment="1">
      <alignment horizontal="center" vertical="center" wrapText="1"/>
    </xf>
    <xf numFmtId="168" fontId="4" fillId="5" borderId="4" xfId="14" applyNumberFormat="1" applyFont="1" applyFill="1" applyBorder="1" applyAlignment="1">
      <alignment horizontal="center" wrapText="1"/>
    </xf>
    <xf numFmtId="0" fontId="38" fillId="0" borderId="0" xfId="14" applyFont="1">
      <alignment vertical="center"/>
    </xf>
    <xf numFmtId="0" fontId="6" fillId="0" borderId="7" xfId="0" applyFont="1" applyFill="1" applyBorder="1" applyAlignment="1">
      <alignment horizontal="left" vertical="center" wrapText="1" indent="1"/>
    </xf>
    <xf numFmtId="0" fontId="6" fillId="0" borderId="7" xfId="0" applyFont="1" applyFill="1" applyBorder="1" applyAlignment="1">
      <alignment horizontal="left" vertical="center" wrapText="1" indent="2"/>
    </xf>
    <xf numFmtId="0" fontId="5" fillId="9" borderId="4" xfId="10" applyFont="1" applyFill="1" applyBorder="1"/>
    <xf numFmtId="0" fontId="5" fillId="4" borderId="4" xfId="10" applyFont="1" applyFill="1" applyBorder="1" applyAlignment="1">
      <alignment horizontal="center" vertical="center" wrapText="1"/>
    </xf>
    <xf numFmtId="0" fontId="5" fillId="4" borderId="4" xfId="10" applyFont="1" applyFill="1" applyBorder="1" applyAlignment="1">
      <alignment horizontal="center" vertical="center"/>
    </xf>
    <xf numFmtId="0" fontId="5" fillId="4" borderId="5" xfId="14" applyFont="1" applyFill="1" applyBorder="1" applyAlignment="1">
      <alignment horizontal="center" vertical="center" wrapText="1"/>
    </xf>
    <xf numFmtId="0" fontId="30" fillId="8" borderId="5" xfId="10" applyFont="1" applyFill="1" applyBorder="1" applyAlignment="1">
      <alignment horizontal="center" vertical="center"/>
    </xf>
    <xf numFmtId="0" fontId="5" fillId="4" borderId="5" xfId="14" applyFont="1" applyFill="1" applyBorder="1" applyAlignment="1">
      <alignment horizontal="center" vertical="center" wrapText="1"/>
    </xf>
    <xf numFmtId="0" fontId="5" fillId="4" borderId="4" xfId="14" applyFont="1" applyFill="1" applyBorder="1" applyAlignment="1">
      <alignment horizontal="center" vertical="center" wrapText="1"/>
    </xf>
    <xf numFmtId="0" fontId="5" fillId="8" borderId="4" xfId="14" applyFont="1" applyFill="1" applyBorder="1" applyAlignment="1">
      <alignment horizontal="center" vertical="center" wrapText="1"/>
    </xf>
    <xf numFmtId="0" fontId="5" fillId="8" borderId="5" xfId="14" applyFont="1" applyFill="1" applyBorder="1" applyAlignment="1">
      <alignment horizontal="center" vertical="center" wrapText="1"/>
    </xf>
    <xf numFmtId="43" fontId="5" fillId="0" borderId="4" xfId="68" applyFont="1" applyBorder="1" applyAlignment="1">
      <alignment vertical="center"/>
    </xf>
    <xf numFmtId="0" fontId="4" fillId="7" borderId="4" xfId="14" applyFont="1" applyFill="1" applyBorder="1" applyAlignment="1">
      <alignment horizontal="center" vertical="center"/>
    </xf>
    <xf numFmtId="0" fontId="5" fillId="4" borderId="4" xfId="14" applyFont="1" applyFill="1" applyBorder="1" applyAlignment="1">
      <alignment horizontal="center" vertical="center" wrapText="1"/>
    </xf>
    <xf numFmtId="164" fontId="6" fillId="0" borderId="4" xfId="20" applyFont="1" applyFill="1" applyBorder="1" applyAlignment="1">
      <alignment vertical="center"/>
    </xf>
    <xf numFmtId="1" fontId="4" fillId="0" borderId="4" xfId="10" applyNumberFormat="1" applyFont="1" applyBorder="1" applyAlignment="1">
      <alignment horizontal="center"/>
    </xf>
    <xf numFmtId="9" fontId="4" fillId="0" borderId="4" xfId="10" applyNumberFormat="1" applyFont="1" applyBorder="1" applyAlignment="1">
      <alignment horizontal="center"/>
    </xf>
    <xf numFmtId="9" fontId="4" fillId="0" borderId="4" xfId="10" applyNumberFormat="1" applyFont="1" applyBorder="1" applyAlignment="1">
      <alignment horizontal="center" vertical="top"/>
    </xf>
    <xf numFmtId="0" fontId="4" fillId="9" borderId="4" xfId="14" applyFont="1" applyFill="1" applyBorder="1" applyAlignment="1">
      <alignment horizontal="center" vertical="center"/>
    </xf>
    <xf numFmtId="9" fontId="4" fillId="0" borderId="4" xfId="14" applyNumberFormat="1" applyFont="1" applyFill="1" applyBorder="1" applyAlignment="1">
      <alignment horizontal="center" vertical="center"/>
    </xf>
    <xf numFmtId="169" fontId="4" fillId="0" borderId="4" xfId="68" applyNumberFormat="1" applyFont="1" applyFill="1" applyBorder="1" applyAlignment="1">
      <alignment horizontal="center" vertical="center"/>
    </xf>
    <xf numFmtId="10" fontId="4" fillId="0" borderId="4" xfId="10" applyNumberFormat="1" applyFont="1" applyBorder="1" applyAlignment="1">
      <alignment horizontal="center" vertical="top"/>
    </xf>
    <xf numFmtId="10" fontId="4" fillId="0" borderId="4" xfId="10" applyNumberFormat="1" applyFont="1" applyBorder="1" applyAlignment="1">
      <alignment horizontal="center" vertical="center"/>
    </xf>
    <xf numFmtId="43" fontId="4" fillId="0" borderId="4" xfId="10" applyNumberFormat="1" applyFont="1" applyBorder="1" applyAlignment="1">
      <alignment horizontal="center" vertical="top"/>
    </xf>
    <xf numFmtId="169" fontId="4" fillId="0" borderId="4" xfId="68" applyNumberFormat="1" applyFont="1" applyBorder="1" applyAlignment="1">
      <alignment horizontal="center" vertical="top"/>
    </xf>
    <xf numFmtId="169" fontId="4" fillId="0" borderId="4" xfId="68" applyNumberFormat="1" applyFont="1" applyBorder="1" applyAlignment="1">
      <alignment horizontal="center" vertical="center"/>
    </xf>
    <xf numFmtId="169" fontId="4" fillId="0" borderId="4" xfId="68" applyNumberFormat="1" applyFont="1" applyFill="1" applyBorder="1" applyAlignment="1">
      <alignment vertical="center"/>
    </xf>
    <xf numFmtId="43" fontId="4" fillId="0" borderId="4" xfId="68" applyFont="1" applyBorder="1" applyAlignment="1">
      <alignment vertical="top"/>
    </xf>
    <xf numFmtId="169" fontId="4" fillId="0" borderId="4" xfId="68" applyNumberFormat="1" applyFont="1" applyBorder="1" applyAlignment="1">
      <alignment vertical="top"/>
    </xf>
    <xf numFmtId="43" fontId="4" fillId="0" borderId="4" xfId="10" applyNumberFormat="1" applyFont="1" applyBorder="1" applyAlignment="1">
      <alignment vertical="top"/>
    </xf>
    <xf numFmtId="43" fontId="4" fillId="0" borderId="4" xfId="10" applyNumberFormat="1" applyFont="1" applyBorder="1" applyAlignment="1">
      <alignment vertical="center"/>
    </xf>
    <xf numFmtId="43" fontId="5" fillId="0" borderId="4" xfId="68" applyFont="1" applyBorder="1"/>
    <xf numFmtId="43" fontId="5" fillId="0" borderId="4" xfId="10" applyNumberFormat="1" applyFont="1" applyBorder="1" applyAlignment="1">
      <alignment vertical="top"/>
    </xf>
    <xf numFmtId="169" fontId="5" fillId="0" borderId="4" xfId="10" applyNumberFormat="1" applyFont="1" applyBorder="1" applyAlignment="1">
      <alignment vertical="top"/>
    </xf>
    <xf numFmtId="43" fontId="4" fillId="5" borderId="4" xfId="68" applyFont="1" applyFill="1" applyBorder="1" applyAlignment="1">
      <alignment horizontal="center" vertical="center" wrapText="1"/>
    </xf>
    <xf numFmtId="43" fontId="4" fillId="0" borderId="4" xfId="68" applyFont="1" applyBorder="1"/>
    <xf numFmtId="43" fontId="5" fillId="0" borderId="4" xfId="10" applyNumberFormat="1" applyFont="1" applyBorder="1" applyAlignment="1">
      <alignment vertical="center"/>
    </xf>
    <xf numFmtId="10" fontId="4" fillId="0" borderId="4" xfId="10" applyNumberFormat="1" applyFont="1" applyBorder="1"/>
    <xf numFmtId="43" fontId="4" fillId="0" borderId="4" xfId="10" applyNumberFormat="1" applyFont="1" applyBorder="1"/>
    <xf numFmtId="43" fontId="4" fillId="0" borderId="4" xfId="14" applyNumberFormat="1" applyFont="1" applyBorder="1">
      <alignment vertical="center"/>
    </xf>
    <xf numFmtId="43" fontId="4" fillId="0" borderId="4" xfId="68" applyFont="1" applyBorder="1" applyAlignment="1">
      <alignment vertical="center"/>
    </xf>
    <xf numFmtId="43" fontId="4" fillId="7" borderId="4" xfId="68" applyFont="1" applyFill="1" applyBorder="1" applyAlignment="1">
      <alignment vertical="center"/>
    </xf>
    <xf numFmtId="43" fontId="4" fillId="0" borderId="4" xfId="68" applyFont="1" applyFill="1" applyBorder="1" applyAlignment="1">
      <alignment vertical="center"/>
    </xf>
    <xf numFmtId="43" fontId="5" fillId="0" borderId="4" xfId="14" applyNumberFormat="1" applyFont="1" applyBorder="1">
      <alignment vertical="center"/>
    </xf>
    <xf numFmtId="43" fontId="4" fillId="0" borderId="4" xfId="68" applyFont="1" applyBorder="1" applyAlignment="1">
      <alignment horizontal="center" vertical="center"/>
    </xf>
    <xf numFmtId="43" fontId="4" fillId="0" borderId="4" xfId="68" applyFont="1" applyFill="1" applyBorder="1" applyAlignment="1">
      <alignment horizontal="center" vertical="center"/>
    </xf>
    <xf numFmtId="43" fontId="5" fillId="0" borderId="4" xfId="68" applyFont="1" applyBorder="1" applyAlignment="1">
      <alignment vertical="top"/>
    </xf>
    <xf numFmtId="43" fontId="26" fillId="7" borderId="4" xfId="0" applyNumberFormat="1" applyFont="1" applyFill="1" applyBorder="1" applyAlignment="1">
      <alignment horizontal="center" wrapText="1"/>
    </xf>
    <xf numFmtId="43" fontId="26" fillId="7" borderId="7" xfId="0" applyNumberFormat="1" applyFont="1" applyFill="1" applyBorder="1" applyAlignment="1">
      <alignment horizontal="center" wrapText="1"/>
    </xf>
    <xf numFmtId="0" fontId="4" fillId="0" borderId="7" xfId="0" applyFont="1" applyBorder="1" applyAlignment="1">
      <alignment vertical="top"/>
    </xf>
    <xf numFmtId="1" fontId="4" fillId="7" borderId="4" xfId="10" applyNumberFormat="1" applyFont="1" applyFill="1" applyBorder="1"/>
    <xf numFmtId="43" fontId="5" fillId="0" borderId="4" xfId="10" applyNumberFormat="1" applyFont="1" applyFill="1" applyBorder="1" applyAlignment="1" applyProtection="1">
      <alignment horizontal="left" vertical="center"/>
    </xf>
    <xf numFmtId="43" fontId="4" fillId="0" borderId="4" xfId="68" applyFont="1" applyFill="1" applyBorder="1" applyAlignment="1" applyProtection="1">
      <alignment horizontal="left" vertical="center"/>
    </xf>
    <xf numFmtId="1" fontId="4" fillId="7" borderId="4" xfId="14" applyNumberFormat="1" applyFont="1" applyFill="1" applyBorder="1">
      <alignment vertical="center"/>
    </xf>
    <xf numFmtId="43" fontId="4" fillId="7" borderId="4" xfId="14" applyNumberFormat="1" applyFont="1" applyFill="1" applyBorder="1">
      <alignment vertical="center"/>
    </xf>
    <xf numFmtId="43" fontId="5" fillId="7" borderId="4" xfId="14" applyNumberFormat="1" applyFont="1" applyFill="1" applyBorder="1">
      <alignment vertical="center"/>
    </xf>
    <xf numFmtId="43" fontId="4" fillId="7" borderId="4" xfId="68" applyFont="1" applyFill="1" applyBorder="1" applyAlignment="1">
      <alignment horizontal="left" vertical="top"/>
    </xf>
    <xf numFmtId="43" fontId="4" fillId="7" borderId="4" xfId="68" applyFont="1" applyFill="1" applyBorder="1" applyAlignment="1">
      <alignment horizontal="left" vertical="top" wrapText="1"/>
    </xf>
    <xf numFmtId="43" fontId="27" fillId="0" borderId="4" xfId="68" applyFont="1" applyBorder="1"/>
    <xf numFmtId="43" fontId="4" fillId="7" borderId="4" xfId="68" applyFont="1" applyFill="1" applyBorder="1" applyAlignment="1">
      <alignment vertical="top"/>
    </xf>
    <xf numFmtId="0" fontId="41" fillId="0" borderId="4" xfId="10" applyFont="1" applyBorder="1" applyAlignment="1">
      <alignment horizontal="left"/>
    </xf>
    <xf numFmtId="43" fontId="5" fillId="0" borderId="4" xfId="10" applyNumberFormat="1" applyFont="1" applyBorder="1"/>
    <xf numFmtId="9" fontId="4" fillId="0" borderId="4" xfId="14" applyNumberFormat="1" applyFont="1" applyBorder="1">
      <alignment vertical="center"/>
    </xf>
    <xf numFmtId="9" fontId="5" fillId="0" borderId="4" xfId="14" applyNumberFormat="1" applyFont="1" applyBorder="1">
      <alignment vertical="center"/>
    </xf>
    <xf numFmtId="9" fontId="4" fillId="0" borderId="4" xfId="69" applyFont="1" applyBorder="1" applyAlignment="1">
      <alignment vertical="center"/>
    </xf>
    <xf numFmtId="9" fontId="4" fillId="0" borderId="0" xfId="14" applyNumberFormat="1" applyFont="1">
      <alignment vertical="center"/>
    </xf>
    <xf numFmtId="43" fontId="6" fillId="0" borderId="4" xfId="14" applyNumberFormat="1" applyFont="1" applyBorder="1">
      <alignment vertical="center"/>
    </xf>
    <xf numFmtId="43" fontId="7" fillId="0" borderId="4" xfId="14" applyNumberFormat="1" applyFont="1" applyBorder="1">
      <alignment vertical="center"/>
    </xf>
    <xf numFmtId="43" fontId="7" fillId="0" borderId="4" xfId="68" applyFont="1" applyFill="1" applyBorder="1" applyAlignment="1">
      <alignment vertical="center"/>
    </xf>
    <xf numFmtId="43" fontId="7" fillId="0" borderId="4" xfId="68" applyFont="1" applyBorder="1" applyAlignment="1">
      <alignment vertical="center"/>
    </xf>
    <xf numFmtId="43" fontId="6" fillId="0" borderId="4" xfId="68" applyFont="1" applyBorder="1" applyAlignment="1">
      <alignment vertical="center"/>
    </xf>
    <xf numFmtId="9" fontId="6" fillId="0" borderId="4" xfId="14" applyNumberFormat="1" applyFont="1" applyBorder="1">
      <alignment vertical="center"/>
    </xf>
    <xf numFmtId="9" fontId="5" fillId="0" borderId="4" xfId="10" applyNumberFormat="1" applyFont="1" applyBorder="1"/>
    <xf numFmtId="9" fontId="5" fillId="5" borderId="4" xfId="10" applyNumberFormat="1" applyFont="1" applyFill="1" applyBorder="1"/>
    <xf numFmtId="10" fontId="4" fillId="0" borderId="4" xfId="69" applyNumberFormat="1" applyFont="1" applyBorder="1"/>
    <xf numFmtId="0" fontId="0" fillId="0" borderId="4" xfId="0" applyFill="1" applyBorder="1" applyAlignment="1">
      <alignment wrapText="1"/>
    </xf>
    <xf numFmtId="0" fontId="40" fillId="0" borderId="4" xfId="0" applyFont="1" applyFill="1" applyBorder="1" applyAlignment="1">
      <alignment wrapText="1"/>
    </xf>
    <xf numFmtId="0" fontId="2" fillId="0" borderId="4" xfId="0" applyFont="1" applyFill="1" applyBorder="1" applyAlignment="1">
      <alignment wrapText="1"/>
    </xf>
    <xf numFmtId="43" fontId="4" fillId="0" borderId="0" xfId="68" applyFont="1" applyAlignment="1">
      <alignment vertical="center"/>
    </xf>
    <xf numFmtId="43" fontId="31" fillId="7" borderId="4" xfId="10" applyNumberFormat="1" applyFont="1" applyFill="1" applyBorder="1" applyAlignment="1">
      <alignment vertical="center"/>
    </xf>
    <xf numFmtId="43" fontId="31" fillId="7" borderId="4" xfId="10" applyNumberFormat="1" applyFont="1" applyFill="1" applyBorder="1" applyAlignment="1"/>
    <xf numFmtId="43" fontId="31" fillId="7" borderId="4" xfId="68" applyFont="1" applyFill="1" applyBorder="1" applyAlignment="1"/>
    <xf numFmtId="0" fontId="5" fillId="0" borderId="4" xfId="0" applyFont="1" applyFill="1" applyBorder="1"/>
    <xf numFmtId="43" fontId="5" fillId="7" borderId="4" xfId="68" applyFont="1" applyFill="1" applyBorder="1"/>
    <xf numFmtId="0" fontId="5" fillId="7" borderId="4" xfId="10" applyFont="1" applyFill="1" applyBorder="1"/>
    <xf numFmtId="43" fontId="5" fillId="0" borderId="4" xfId="68" applyFont="1" applyFill="1" applyBorder="1" applyAlignment="1" applyProtection="1">
      <alignment horizontal="left" vertical="center"/>
    </xf>
    <xf numFmtId="9" fontId="6" fillId="0" borderId="4" xfId="69" applyFont="1" applyBorder="1" applyAlignment="1">
      <alignment vertical="center"/>
    </xf>
    <xf numFmtId="43" fontId="5" fillId="0" borderId="4" xfId="14" applyNumberFormat="1" applyFont="1" applyFill="1" applyBorder="1">
      <alignment vertical="center"/>
    </xf>
    <xf numFmtId="9" fontId="5" fillId="0" borderId="4" xfId="69" applyFont="1" applyFill="1" applyBorder="1" applyAlignment="1">
      <alignment vertical="center"/>
    </xf>
    <xf numFmtId="43" fontId="4" fillId="0" borderId="0" xfId="14" applyNumberFormat="1" applyFont="1">
      <alignment vertical="center"/>
    </xf>
    <xf numFmtId="0" fontId="17" fillId="0" borderId="0" xfId="10" applyAlignment="1">
      <alignment horizontal="center" vertical="center"/>
    </xf>
    <xf numFmtId="0" fontId="5" fillId="0" borderId="0" xfId="14" applyFont="1" applyAlignment="1">
      <alignment horizontal="center" vertical="center"/>
    </xf>
    <xf numFmtId="0" fontId="5" fillId="0" borderId="0" xfId="10" applyFont="1" applyBorder="1" applyAlignment="1">
      <alignment horizontal="center" vertical="center"/>
    </xf>
    <xf numFmtId="0" fontId="5" fillId="4" borderId="4" xfId="14" applyFont="1" applyFill="1" applyBorder="1" applyAlignment="1">
      <alignment horizontal="center" vertical="center" wrapText="1"/>
    </xf>
    <xf numFmtId="0" fontId="5" fillId="8" borderId="4" xfId="14" applyFont="1" applyFill="1" applyBorder="1" applyAlignment="1">
      <alignment horizontal="center" vertical="center" wrapText="1"/>
    </xf>
    <xf numFmtId="0" fontId="4" fillId="7" borderId="7" xfId="0" applyFont="1" applyFill="1" applyBorder="1" applyAlignment="1">
      <alignment horizontal="center"/>
    </xf>
    <xf numFmtId="0" fontId="4" fillId="7" borderId="10" xfId="0" applyFont="1" applyFill="1" applyBorder="1" applyAlignment="1">
      <alignment horizontal="center"/>
    </xf>
    <xf numFmtId="0" fontId="4" fillId="7" borderId="6" xfId="0" applyFont="1" applyFill="1" applyBorder="1" applyAlignment="1">
      <alignment horizontal="center"/>
    </xf>
    <xf numFmtId="0" fontId="5" fillId="0" borderId="0" xfId="10" applyFont="1" applyAlignment="1">
      <alignment horizontal="left"/>
    </xf>
    <xf numFmtId="0" fontId="5" fillId="0" borderId="13" xfId="14" applyFont="1" applyBorder="1" applyAlignment="1">
      <alignment horizontal="center" vertical="center"/>
    </xf>
    <xf numFmtId="0" fontId="5" fillId="0" borderId="14" xfId="14" applyFont="1" applyBorder="1" applyAlignment="1">
      <alignment horizontal="center" vertical="center"/>
    </xf>
    <xf numFmtId="0" fontId="5" fillId="0" borderId="17" xfId="14" applyFont="1" applyBorder="1" applyAlignment="1">
      <alignment horizontal="center" vertical="center"/>
    </xf>
    <xf numFmtId="0" fontId="5" fillId="7" borderId="13" xfId="14" applyFont="1" applyFill="1" applyBorder="1" applyAlignment="1">
      <alignment horizontal="center" vertical="center"/>
    </xf>
    <xf numFmtId="0" fontId="5" fillId="7" borderId="14" xfId="14" applyFont="1" applyFill="1" applyBorder="1" applyAlignment="1">
      <alignment horizontal="center" vertical="center"/>
    </xf>
    <xf numFmtId="0" fontId="5" fillId="7" borderId="17" xfId="14" applyFont="1" applyFill="1" applyBorder="1" applyAlignment="1">
      <alignment horizontal="center" vertical="center"/>
    </xf>
    <xf numFmtId="0" fontId="6" fillId="0" borderId="0" xfId="10" applyFont="1" applyAlignment="1">
      <alignment horizontal="center" vertical="center"/>
    </xf>
    <xf numFmtId="0" fontId="5" fillId="0" borderId="0" xfId="10" applyFont="1" applyBorder="1" applyAlignment="1">
      <alignment horizontal="center" vertical="center" wrapText="1"/>
    </xf>
    <xf numFmtId="0" fontId="6" fillId="0" borderId="0" xfId="10" applyFont="1" applyAlignment="1">
      <alignment horizontal="center" vertical="center" wrapText="1"/>
    </xf>
    <xf numFmtId="0" fontId="5" fillId="0" borderId="0" xfId="14" applyFont="1" applyBorder="1" applyAlignment="1">
      <alignment horizontal="center" vertical="center"/>
    </xf>
    <xf numFmtId="0" fontId="5" fillId="4" borderId="4" xfId="14" applyFont="1" applyFill="1" applyBorder="1" applyAlignment="1">
      <alignment horizontal="center" vertical="center" wrapText="1"/>
    </xf>
    <xf numFmtId="0" fontId="5" fillId="4" borderId="0" xfId="14" applyFont="1" applyFill="1" applyBorder="1" applyAlignment="1">
      <alignment horizontal="center" vertical="center" wrapText="1"/>
    </xf>
    <xf numFmtId="43" fontId="4" fillId="0" borderId="6" xfId="68" applyFont="1" applyBorder="1" applyAlignment="1">
      <alignment vertical="center"/>
    </xf>
    <xf numFmtId="164" fontId="6" fillId="0" borderId="0" xfId="20" applyFont="1" applyFill="1" applyBorder="1" applyAlignment="1">
      <alignment vertical="center"/>
    </xf>
    <xf numFmtId="0" fontId="31" fillId="0" borderId="0" xfId="19" applyFont="1" applyFill="1" applyBorder="1" applyAlignment="1">
      <alignment vertical="center"/>
    </xf>
    <xf numFmtId="164" fontId="7" fillId="0" borderId="0" xfId="20" applyFont="1" applyBorder="1" applyAlignment="1">
      <alignment vertical="center"/>
    </xf>
    <xf numFmtId="0" fontId="5" fillId="4" borderId="4" xfId="14" applyFont="1" applyFill="1" applyBorder="1" applyAlignment="1">
      <alignment horizontal="center" vertical="center" wrapText="1"/>
    </xf>
    <xf numFmtId="0" fontId="5" fillId="4" borderId="4" xfId="10" applyFont="1" applyFill="1" applyBorder="1" applyAlignment="1">
      <alignment horizontal="center" vertical="center" wrapText="1"/>
    </xf>
    <xf numFmtId="0" fontId="5" fillId="4" borderId="4" xfId="10" applyFont="1" applyFill="1" applyBorder="1" applyAlignment="1">
      <alignment horizontal="center" vertical="center"/>
    </xf>
    <xf numFmtId="0" fontId="5" fillId="4" borderId="4" xfId="31" applyFont="1" applyFill="1" applyBorder="1" applyAlignment="1">
      <alignment horizontal="center" vertical="center" wrapText="1"/>
    </xf>
    <xf numFmtId="0" fontId="5" fillId="0" borderId="0" xfId="10" applyFont="1" applyBorder="1" applyAlignment="1">
      <alignment horizontal="center"/>
    </xf>
    <xf numFmtId="10" fontId="4" fillId="10" borderId="4" xfId="14" applyNumberFormat="1" applyFont="1" applyFill="1" applyBorder="1">
      <alignment vertical="center"/>
    </xf>
    <xf numFmtId="0" fontId="4" fillId="0" borderId="8" xfId="10" applyFont="1" applyBorder="1" applyAlignment="1">
      <alignment vertical="top"/>
    </xf>
    <xf numFmtId="0" fontId="45" fillId="0" borderId="4" xfId="0" applyFont="1" applyBorder="1" applyAlignment="1">
      <alignment horizontal="center" vertical="center" wrapText="1"/>
    </xf>
    <xf numFmtId="0" fontId="45" fillId="0" borderId="4" xfId="0" applyFont="1" applyBorder="1" applyAlignment="1">
      <alignment horizontal="left" vertical="center" wrapText="1"/>
    </xf>
    <xf numFmtId="164" fontId="47" fillId="0" borderId="4" xfId="0" applyNumberFormat="1" applyFont="1" applyBorder="1"/>
    <xf numFmtId="0" fontId="48" fillId="0" borderId="0" xfId="10" applyFont="1" applyBorder="1" applyAlignment="1"/>
    <xf numFmtId="0" fontId="45" fillId="0" borderId="4" xfId="0" applyFont="1" applyBorder="1" applyAlignment="1">
      <alignment horizontal="left" vertical="center"/>
    </xf>
    <xf numFmtId="0" fontId="31" fillId="0" borderId="4" xfId="0" applyFont="1" applyBorder="1" applyAlignment="1">
      <alignment horizontal="center"/>
    </xf>
    <xf numFmtId="9" fontId="30" fillId="11" borderId="4" xfId="0" applyNumberFormat="1" applyFont="1" applyFill="1" applyBorder="1" applyAlignment="1">
      <alignment horizontal="center" wrapText="1"/>
    </xf>
    <xf numFmtId="0" fontId="46" fillId="0" borderId="4" xfId="0" applyFont="1" applyBorder="1"/>
    <xf numFmtId="0" fontId="31" fillId="0" borderId="4" xfId="0" applyFont="1" applyBorder="1"/>
    <xf numFmtId="169" fontId="47" fillId="0" borderId="4" xfId="0" applyNumberFormat="1" applyFont="1" applyBorder="1"/>
    <xf numFmtId="164" fontId="47" fillId="0" borderId="4" xfId="29" applyFont="1" applyFill="1" applyBorder="1"/>
    <xf numFmtId="10" fontId="47" fillId="0" borderId="4" xfId="40" applyNumberFormat="1" applyFont="1" applyFill="1" applyBorder="1"/>
    <xf numFmtId="9" fontId="47" fillId="0" borderId="4" xfId="0" applyNumberFormat="1" applyFont="1" applyBorder="1"/>
    <xf numFmtId="0" fontId="47" fillId="0" borderId="4" xfId="0" applyFont="1" applyBorder="1"/>
    <xf numFmtId="2" fontId="47" fillId="0" borderId="4" xfId="0" applyNumberFormat="1" applyFont="1" applyBorder="1"/>
    <xf numFmtId="164" fontId="45" fillId="0" borderId="4" xfId="29" applyFont="1" applyFill="1" applyBorder="1"/>
    <xf numFmtId="43" fontId="47" fillId="0" borderId="4" xfId="0" applyNumberFormat="1" applyFont="1" applyBorder="1"/>
    <xf numFmtId="0" fontId="47" fillId="0" borderId="4" xfId="0" applyFont="1" applyBorder="1" applyAlignment="1">
      <alignment horizontal="center"/>
    </xf>
    <xf numFmtId="164" fontId="5" fillId="0" borderId="4" xfId="29" applyFont="1" applyFill="1" applyBorder="1" applyAlignment="1">
      <alignment horizontal="center"/>
    </xf>
    <xf numFmtId="169" fontId="4" fillId="0" borderId="4" xfId="68" applyNumberFormat="1" applyFont="1" applyFill="1" applyBorder="1" applyAlignment="1">
      <alignment vertical="top"/>
    </xf>
    <xf numFmtId="0" fontId="4" fillId="0" borderId="4" xfId="10" applyFont="1" applyFill="1" applyBorder="1" applyAlignment="1">
      <alignment vertical="center"/>
    </xf>
    <xf numFmtId="10" fontId="5" fillId="0" borderId="4" xfId="10" applyNumberFormat="1" applyFont="1" applyFill="1" applyBorder="1" applyAlignment="1">
      <alignment horizontal="center"/>
    </xf>
    <xf numFmtId="43" fontId="5" fillId="0" borderId="4" xfId="68" applyFont="1" applyFill="1" applyBorder="1"/>
    <xf numFmtId="10" fontId="4" fillId="0" borderId="4" xfId="69" applyNumberFormat="1" applyFont="1" applyFill="1" applyBorder="1"/>
    <xf numFmtId="10" fontId="4" fillId="0" borderId="4" xfId="14" applyNumberFormat="1" applyFont="1" applyBorder="1">
      <alignment vertical="center"/>
    </xf>
    <xf numFmtId="0" fontId="9" fillId="0" borderId="0" xfId="14" applyFont="1" applyAlignment="1">
      <alignment horizontal="center" vertical="center"/>
    </xf>
    <xf numFmtId="0" fontId="17" fillId="0" borderId="0" xfId="10" applyAlignment="1">
      <alignment horizontal="center" vertical="center"/>
    </xf>
    <xf numFmtId="0" fontId="9" fillId="0" borderId="0" xfId="10" applyFont="1" applyBorder="1" applyAlignment="1">
      <alignment horizontal="center" vertical="center" wrapText="1"/>
    </xf>
    <xf numFmtId="0" fontId="17" fillId="0" borderId="0" xfId="10" applyAlignment="1">
      <alignment horizontal="center" vertical="center" wrapText="1"/>
    </xf>
    <xf numFmtId="0" fontId="9" fillId="4" borderId="7" xfId="14" applyFont="1" applyFill="1" applyBorder="1" applyAlignment="1">
      <alignment horizontal="center" vertical="center"/>
    </xf>
    <xf numFmtId="0" fontId="9" fillId="4" borderId="10" xfId="14" applyFont="1" applyFill="1" applyBorder="1" applyAlignment="1">
      <alignment horizontal="center" vertical="center"/>
    </xf>
    <xf numFmtId="0" fontId="15" fillId="0" borderId="6" xfId="10" applyFont="1" applyBorder="1" applyAlignment="1">
      <alignment horizontal="center" vertical="center"/>
    </xf>
    <xf numFmtId="0" fontId="9" fillId="4" borderId="4" xfId="14" applyFont="1" applyFill="1" applyBorder="1" applyAlignment="1">
      <alignment horizontal="center" vertical="center"/>
    </xf>
    <xf numFmtId="0" fontId="15" fillId="0" borderId="4" xfId="10" applyFont="1" applyBorder="1" applyAlignment="1">
      <alignment horizontal="center" vertical="center"/>
    </xf>
    <xf numFmtId="0" fontId="5" fillId="0" borderId="0" xfId="14" applyFont="1" applyAlignment="1">
      <alignment horizontal="center" vertical="center"/>
    </xf>
    <xf numFmtId="0" fontId="5" fillId="0" borderId="0" xfId="10" applyFont="1" applyBorder="1" applyAlignment="1">
      <alignment horizontal="center" vertical="center"/>
    </xf>
    <xf numFmtId="0" fontId="5" fillId="4" borderId="7" xfId="14" applyFont="1" applyFill="1" applyBorder="1" applyAlignment="1">
      <alignment horizontal="center" vertical="center" wrapText="1"/>
    </xf>
    <xf numFmtId="0" fontId="5" fillId="4" borderId="10" xfId="14" applyFont="1" applyFill="1" applyBorder="1" applyAlignment="1">
      <alignment horizontal="center" vertical="center" wrapText="1"/>
    </xf>
    <xf numFmtId="0" fontId="5" fillId="4" borderId="4" xfId="14" applyFont="1" applyFill="1" applyBorder="1" applyAlignment="1">
      <alignment horizontal="center" vertical="center"/>
    </xf>
    <xf numFmtId="0" fontId="5" fillId="4" borderId="4" xfId="14" applyFont="1" applyFill="1" applyBorder="1" applyAlignment="1">
      <alignment horizontal="center" vertical="center" wrapText="1"/>
    </xf>
    <xf numFmtId="0" fontId="5" fillId="7" borderId="0" xfId="14" applyFont="1" applyFill="1" applyBorder="1" applyAlignment="1">
      <alignment horizontal="center" vertical="center"/>
    </xf>
    <xf numFmtId="0" fontId="4" fillId="7" borderId="0" xfId="10" applyFont="1" applyFill="1" applyBorder="1" applyAlignment="1">
      <alignment horizontal="center" vertical="center"/>
    </xf>
    <xf numFmtId="0" fontId="5" fillId="7" borderId="0" xfId="10" applyFont="1" applyFill="1" applyBorder="1" applyAlignment="1">
      <alignment horizontal="center" vertical="center"/>
    </xf>
    <xf numFmtId="0" fontId="30" fillId="8" borderId="7" xfId="10" applyFont="1" applyFill="1" applyBorder="1" applyAlignment="1">
      <alignment horizontal="center" vertical="center" wrapText="1"/>
    </xf>
    <xf numFmtId="0" fontId="30" fillId="8" borderId="6" xfId="10" applyFont="1" applyFill="1" applyBorder="1" applyAlignment="1">
      <alignment horizontal="center" vertical="center" wrapText="1"/>
    </xf>
    <xf numFmtId="0" fontId="5" fillId="8" borderId="4" xfId="14" applyFont="1" applyFill="1" applyBorder="1" applyAlignment="1">
      <alignment horizontal="center" vertical="center" wrapText="1"/>
    </xf>
    <xf numFmtId="0" fontId="4" fillId="8" borderId="4" xfId="10" applyFont="1" applyFill="1" applyBorder="1" applyAlignment="1">
      <alignment horizontal="center" vertical="center" wrapText="1"/>
    </xf>
    <xf numFmtId="0" fontId="30" fillId="8" borderId="7" xfId="10" applyFont="1" applyFill="1" applyBorder="1" applyAlignment="1">
      <alignment horizontal="center" vertical="center"/>
    </xf>
    <xf numFmtId="0" fontId="30" fillId="8" borderId="6" xfId="10" applyFont="1" applyFill="1" applyBorder="1" applyAlignment="1">
      <alignment horizontal="center" vertical="center"/>
    </xf>
    <xf numFmtId="0" fontId="5" fillId="4" borderId="4" xfId="14" quotePrefix="1" applyFont="1" applyFill="1" applyBorder="1" applyAlignment="1">
      <alignment horizontal="center" vertical="center" wrapText="1"/>
    </xf>
    <xf numFmtId="0" fontId="5" fillId="4" borderId="4" xfId="10" applyFont="1" applyFill="1" applyBorder="1" applyAlignment="1">
      <alignment horizontal="center" vertical="center" wrapText="1"/>
    </xf>
    <xf numFmtId="0" fontId="5" fillId="4" borderId="4" xfId="10" applyFont="1" applyFill="1" applyBorder="1" applyAlignment="1">
      <alignment horizontal="center" vertical="center"/>
    </xf>
    <xf numFmtId="0" fontId="5" fillId="0" borderId="9" xfId="10" applyFont="1" applyBorder="1" applyAlignment="1">
      <alignment horizontal="center" vertical="center"/>
    </xf>
    <xf numFmtId="0" fontId="5" fillId="0" borderId="11" xfId="10" applyFont="1" applyBorder="1" applyAlignment="1">
      <alignment horizontal="center" vertical="center"/>
    </xf>
    <xf numFmtId="0" fontId="5" fillId="0" borderId="13" xfId="10" applyFont="1" applyBorder="1" applyAlignment="1">
      <alignment horizontal="center" vertical="center"/>
    </xf>
    <xf numFmtId="0" fontId="5" fillId="0" borderId="12" xfId="10" applyFont="1" applyBorder="1" applyAlignment="1">
      <alignment horizontal="center" vertical="center"/>
    </xf>
    <xf numFmtId="0" fontId="5" fillId="0" borderId="14" xfId="10" applyFont="1" applyBorder="1" applyAlignment="1">
      <alignment horizontal="center" vertical="center"/>
    </xf>
    <xf numFmtId="0" fontId="5" fillId="0" borderId="15" xfId="10" applyFont="1" applyBorder="1" applyAlignment="1">
      <alignment horizontal="center" vertical="center"/>
    </xf>
    <xf numFmtId="0" fontId="5" fillId="0" borderId="16" xfId="10" applyFont="1" applyBorder="1" applyAlignment="1">
      <alignment horizontal="center" vertical="center"/>
    </xf>
    <xf numFmtId="0" fontId="5" fillId="0" borderId="17" xfId="10" applyFont="1" applyBorder="1" applyAlignment="1">
      <alignment horizontal="center" vertical="center"/>
    </xf>
    <xf numFmtId="0" fontId="5" fillId="4" borderId="7" xfId="10" applyFont="1" applyFill="1" applyBorder="1" applyAlignment="1">
      <alignment horizontal="center" vertical="center" wrapText="1"/>
    </xf>
    <xf numFmtId="0" fontId="5" fillId="4" borderId="6" xfId="10" applyFont="1" applyFill="1" applyBorder="1" applyAlignment="1">
      <alignment horizontal="center" vertical="center" wrapText="1"/>
    </xf>
    <xf numFmtId="0" fontId="5" fillId="4" borderId="6" xfId="14" applyFont="1" applyFill="1" applyBorder="1" applyAlignment="1">
      <alignment horizontal="center" vertical="center" wrapText="1"/>
    </xf>
    <xf numFmtId="0" fontId="5" fillId="4" borderId="7" xfId="10" applyFont="1" applyFill="1" applyBorder="1" applyAlignment="1">
      <alignment horizontal="center" vertical="center"/>
    </xf>
    <xf numFmtId="0" fontId="5" fillId="4" borderId="6" xfId="10" applyFont="1" applyFill="1" applyBorder="1" applyAlignment="1">
      <alignment horizontal="center" vertical="center"/>
    </xf>
    <xf numFmtId="0" fontId="4" fillId="7" borderId="7" xfId="0" applyFont="1" applyFill="1" applyBorder="1" applyAlignment="1">
      <alignment horizontal="center"/>
    </xf>
    <xf numFmtId="0" fontId="4" fillId="7" borderId="10" xfId="0" applyFont="1" applyFill="1" applyBorder="1" applyAlignment="1">
      <alignment horizontal="center"/>
    </xf>
    <xf numFmtId="0" fontId="4" fillId="7" borderId="6" xfId="0" applyFont="1" applyFill="1" applyBorder="1" applyAlignment="1">
      <alignment horizontal="center"/>
    </xf>
    <xf numFmtId="0" fontId="4" fillId="0" borderId="7" xfId="0" applyFont="1" applyBorder="1" applyAlignment="1">
      <alignment horizontal="center" vertical="top"/>
    </xf>
    <xf numFmtId="0" fontId="4" fillId="0" borderId="10" xfId="0" applyFont="1" applyBorder="1" applyAlignment="1">
      <alignment horizontal="center" vertical="top"/>
    </xf>
    <xf numFmtId="0" fontId="4" fillId="0" borderId="6" xfId="0" applyFont="1" applyBorder="1" applyAlignment="1">
      <alignment horizontal="center" vertical="top"/>
    </xf>
    <xf numFmtId="0" fontId="5" fillId="8" borderId="7" xfId="10" applyFont="1" applyFill="1" applyBorder="1" applyAlignment="1">
      <alignment horizontal="center" vertical="center"/>
    </xf>
    <xf numFmtId="0" fontId="5" fillId="8" borderId="10" xfId="10" applyFont="1" applyFill="1" applyBorder="1" applyAlignment="1">
      <alignment horizontal="center" vertical="center"/>
    </xf>
    <xf numFmtId="0" fontId="5" fillId="8" borderId="7" xfId="10" applyFont="1" applyFill="1" applyBorder="1" applyAlignment="1">
      <alignment horizontal="center" vertical="center" wrapText="1"/>
    </xf>
    <xf numFmtId="0" fontId="5" fillId="8" borderId="10" xfId="10" applyFont="1" applyFill="1" applyBorder="1" applyAlignment="1">
      <alignment horizontal="center" vertical="center" wrapText="1"/>
    </xf>
    <xf numFmtId="0" fontId="5" fillId="0" borderId="0" xfId="10" applyFont="1" applyAlignment="1">
      <alignment horizontal="left"/>
    </xf>
    <xf numFmtId="0" fontId="5" fillId="8" borderId="4" xfId="10" applyFont="1" applyFill="1" applyBorder="1" applyAlignment="1">
      <alignment horizontal="center" vertical="center" wrapText="1"/>
    </xf>
    <xf numFmtId="0" fontId="5" fillId="8" borderId="4" xfId="10" applyFont="1" applyFill="1" applyBorder="1" applyAlignment="1">
      <alignment horizontal="center" wrapText="1"/>
    </xf>
    <xf numFmtId="0" fontId="5" fillId="0" borderId="0" xfId="14" applyFont="1" applyFill="1" applyBorder="1" applyAlignment="1">
      <alignment horizontal="center" vertical="center"/>
    </xf>
    <xf numFmtId="0" fontId="5" fillId="0" borderId="9" xfId="14" applyFont="1" applyBorder="1" applyAlignment="1">
      <alignment horizontal="center" vertical="center"/>
    </xf>
    <xf numFmtId="0" fontId="5" fillId="0" borderId="13" xfId="14" applyFont="1" applyBorder="1" applyAlignment="1">
      <alignment horizontal="center" vertical="center"/>
    </xf>
    <xf numFmtId="0" fontId="5" fillId="0" borderId="12" xfId="14" applyFont="1" applyBorder="1" applyAlignment="1">
      <alignment horizontal="center" vertical="center"/>
    </xf>
    <xf numFmtId="0" fontId="5" fillId="0" borderId="14" xfId="14" applyFont="1" applyBorder="1" applyAlignment="1">
      <alignment horizontal="center" vertical="center"/>
    </xf>
    <xf numFmtId="0" fontId="5" fillId="0" borderId="15" xfId="14" applyFont="1" applyBorder="1" applyAlignment="1">
      <alignment horizontal="center" vertical="center"/>
    </xf>
    <xf numFmtId="0" fontId="5" fillId="0" borderId="17" xfId="14" applyFont="1" applyBorder="1" applyAlignment="1">
      <alignment horizontal="center" vertical="center"/>
    </xf>
    <xf numFmtId="0" fontId="5" fillId="0" borderId="9" xfId="10" applyFont="1" applyFill="1" applyBorder="1" applyAlignment="1">
      <alignment horizontal="center" vertical="center"/>
    </xf>
    <xf numFmtId="0" fontId="5" fillId="0" borderId="11" xfId="10" applyFont="1" applyFill="1" applyBorder="1" applyAlignment="1">
      <alignment horizontal="center" vertical="center"/>
    </xf>
    <xf numFmtId="0" fontId="5" fillId="0" borderId="13"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0"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15" xfId="10" applyFont="1" applyFill="1" applyBorder="1" applyAlignment="1">
      <alignment horizontal="center" vertical="center"/>
    </xf>
    <xf numFmtId="0" fontId="5" fillId="0" borderId="16" xfId="10" applyFont="1" applyFill="1" applyBorder="1" applyAlignment="1">
      <alignment horizontal="center" vertical="center"/>
    </xf>
    <xf numFmtId="0" fontId="5" fillId="0" borderId="17" xfId="10" applyFont="1" applyFill="1" applyBorder="1" applyAlignment="1">
      <alignment horizontal="center" vertical="center"/>
    </xf>
    <xf numFmtId="0" fontId="7" fillId="4" borderId="7" xfId="10" applyFont="1" applyFill="1" applyBorder="1" applyAlignment="1">
      <alignment horizontal="left" vertical="center" wrapText="1"/>
    </xf>
    <xf numFmtId="0" fontId="7" fillId="4" borderId="10" xfId="10" applyFont="1" applyFill="1" applyBorder="1" applyAlignment="1">
      <alignment horizontal="left" vertical="center" wrapText="1"/>
    </xf>
    <xf numFmtId="0" fontId="7" fillId="4" borderId="6" xfId="10" applyFont="1" applyFill="1" applyBorder="1" applyAlignment="1">
      <alignment horizontal="left" vertical="center" wrapText="1"/>
    </xf>
    <xf numFmtId="0" fontId="7" fillId="4" borderId="7" xfId="10" applyFont="1" applyFill="1" applyBorder="1" applyAlignment="1">
      <alignment horizontal="center" vertical="center" wrapText="1"/>
    </xf>
    <xf numFmtId="0" fontId="7" fillId="4" borderId="6" xfId="10" applyFont="1" applyFill="1" applyBorder="1" applyAlignment="1">
      <alignment horizontal="center" vertical="center" wrapText="1"/>
    </xf>
    <xf numFmtId="0" fontId="7" fillId="4" borderId="4" xfId="10" applyFont="1" applyFill="1" applyBorder="1" applyAlignment="1">
      <alignment horizontal="center" vertical="center" wrapText="1"/>
    </xf>
    <xf numFmtId="0" fontId="17" fillId="0" borderId="4" xfId="10" applyBorder="1" applyAlignment="1">
      <alignment horizontal="center" vertical="center" wrapText="1"/>
    </xf>
    <xf numFmtId="0" fontId="5" fillId="4" borderId="5" xfId="10" applyFont="1" applyFill="1" applyBorder="1" applyAlignment="1">
      <alignment horizontal="center" vertical="center" wrapText="1"/>
    </xf>
    <xf numFmtId="0" fontId="5" fillId="4" borderId="3" xfId="10" applyFont="1" applyFill="1" applyBorder="1" applyAlignment="1">
      <alignment horizontal="center" vertical="center" wrapText="1"/>
    </xf>
    <xf numFmtId="0" fontId="5" fillId="4" borderId="8" xfId="10" applyFont="1" applyFill="1" applyBorder="1" applyAlignment="1">
      <alignment horizontal="center" vertical="center" wrapText="1"/>
    </xf>
    <xf numFmtId="0" fontId="5" fillId="4" borderId="10" xfId="10" applyFont="1" applyFill="1" applyBorder="1" applyAlignment="1">
      <alignment horizontal="center" vertical="center" wrapText="1"/>
    </xf>
    <xf numFmtId="0" fontId="5" fillId="5" borderId="0" xfId="10" applyFont="1" applyFill="1" applyBorder="1" applyAlignment="1">
      <alignment horizontal="center" vertical="center"/>
    </xf>
    <xf numFmtId="0" fontId="5" fillId="0" borderId="0" xfId="15" applyFont="1" applyAlignment="1">
      <alignment horizontal="center" vertical="center"/>
    </xf>
    <xf numFmtId="0" fontId="8" fillId="4" borderId="5" xfId="10" applyFont="1" applyFill="1" applyBorder="1" applyAlignment="1">
      <alignment horizontal="center" vertical="center" wrapText="1"/>
    </xf>
    <xf numFmtId="0" fontId="8" fillId="4" borderId="3" xfId="10" applyFont="1" applyFill="1" applyBorder="1" applyAlignment="1">
      <alignment horizontal="center" vertical="center" wrapText="1"/>
    </xf>
    <xf numFmtId="0" fontId="8" fillId="4" borderId="8" xfId="10" applyFont="1" applyFill="1" applyBorder="1" applyAlignment="1">
      <alignment horizontal="center" vertical="center" wrapText="1"/>
    </xf>
    <xf numFmtId="0" fontId="5" fillId="4" borderId="7" xfId="58" applyFont="1" applyFill="1" applyBorder="1" applyAlignment="1">
      <alignment horizontal="center" vertical="center" wrapText="1"/>
    </xf>
    <xf numFmtId="0" fontId="5" fillId="4" borderId="6" xfId="58" applyFont="1" applyFill="1" applyBorder="1" applyAlignment="1">
      <alignment horizontal="center" vertical="center" wrapText="1"/>
    </xf>
    <xf numFmtId="0" fontId="5" fillId="4" borderId="9" xfId="10" applyFont="1" applyFill="1" applyBorder="1" applyAlignment="1">
      <alignment horizontal="center" vertical="center" wrapText="1"/>
    </xf>
    <xf numFmtId="0" fontId="5" fillId="4" borderId="11" xfId="10" applyFont="1" applyFill="1" applyBorder="1" applyAlignment="1">
      <alignment horizontal="center" vertical="center" wrapText="1"/>
    </xf>
    <xf numFmtId="0" fontId="5" fillId="4" borderId="4" xfId="31" applyFont="1" applyFill="1" applyBorder="1" applyAlignment="1">
      <alignment horizontal="center" vertical="center" wrapText="1"/>
    </xf>
    <xf numFmtId="0" fontId="5" fillId="4" borderId="4" xfId="31" applyFont="1" applyFill="1" applyBorder="1" applyAlignment="1">
      <alignment horizontal="center" wrapText="1"/>
    </xf>
    <xf numFmtId="0" fontId="17" fillId="0" borderId="4" xfId="31" applyBorder="1" applyAlignment="1">
      <alignment horizontal="center" wrapText="1"/>
    </xf>
    <xf numFmtId="0" fontId="5" fillId="0" borderId="0" xfId="10" applyFont="1" applyBorder="1" applyAlignment="1">
      <alignment horizontal="center"/>
    </xf>
    <xf numFmtId="0" fontId="5" fillId="7" borderId="9" xfId="14" applyFont="1" applyFill="1" applyBorder="1" applyAlignment="1">
      <alignment horizontal="center" vertical="center"/>
    </xf>
    <xf numFmtId="0" fontId="5" fillId="7" borderId="13" xfId="14" applyFont="1" applyFill="1" applyBorder="1" applyAlignment="1">
      <alignment horizontal="center" vertical="center"/>
    </xf>
    <xf numFmtId="0" fontId="5" fillId="7" borderId="12" xfId="14" applyFont="1" applyFill="1" applyBorder="1" applyAlignment="1">
      <alignment horizontal="center" vertical="center"/>
    </xf>
    <xf numFmtId="0" fontId="5" fillId="7" borderId="14" xfId="14" applyFont="1" applyFill="1" applyBorder="1" applyAlignment="1">
      <alignment horizontal="center" vertical="center"/>
    </xf>
    <xf numFmtId="0" fontId="5" fillId="7" borderId="15" xfId="14" applyFont="1" applyFill="1" applyBorder="1" applyAlignment="1">
      <alignment horizontal="center" vertical="center"/>
    </xf>
    <xf numFmtId="0" fontId="5" fillId="7" borderId="17" xfId="14" applyFont="1" applyFill="1" applyBorder="1" applyAlignment="1">
      <alignment horizontal="center" vertical="center"/>
    </xf>
    <xf numFmtId="0" fontId="5" fillId="0" borderId="0" xfId="10" applyFont="1" applyBorder="1" applyAlignment="1">
      <alignment horizontal="center" vertical="top"/>
    </xf>
    <xf numFmtId="0" fontId="9" fillId="0" borderId="0" xfId="14" applyFont="1" applyAlignment="1">
      <alignment horizontal="center" vertical="center" wrapText="1"/>
    </xf>
    <xf numFmtId="0" fontId="5" fillId="8" borderId="7" xfId="14" applyFont="1" applyFill="1" applyBorder="1" applyAlignment="1">
      <alignment horizontal="center" vertical="center" wrapText="1"/>
    </xf>
    <xf numFmtId="0" fontId="5" fillId="8" borderId="10" xfId="14" applyFont="1" applyFill="1" applyBorder="1" applyAlignment="1">
      <alignment horizontal="center" vertical="center" wrapText="1"/>
    </xf>
    <xf numFmtId="0" fontId="17" fillId="0" borderId="0" xfId="10" applyFill="1" applyAlignment="1">
      <alignment horizontal="center" vertical="center"/>
    </xf>
    <xf numFmtId="0" fontId="7" fillId="4" borderId="4" xfId="14" applyFont="1" applyFill="1" applyBorder="1" applyAlignment="1">
      <alignment horizontal="center" vertical="center"/>
    </xf>
    <xf numFmtId="0" fontId="5" fillId="4" borderId="4" xfId="10" applyFont="1" applyFill="1" applyBorder="1" applyAlignment="1">
      <alignment horizontal="center" vertical="top" wrapText="1"/>
    </xf>
    <xf numFmtId="0" fontId="17" fillId="0" borderId="4" xfId="10" applyBorder="1"/>
    <xf numFmtId="2" fontId="7" fillId="0" borderId="9" xfId="0" applyNumberFormat="1" applyFont="1" applyFill="1" applyBorder="1" applyAlignment="1">
      <alignment horizontal="center" vertical="center"/>
    </xf>
    <xf numFmtId="2" fontId="7" fillId="0" borderId="11" xfId="0" applyNumberFormat="1" applyFont="1" applyFill="1" applyBorder="1" applyAlignment="1">
      <alignment horizontal="center" vertical="center"/>
    </xf>
    <xf numFmtId="2" fontId="7" fillId="0" borderId="13" xfId="0" applyNumberFormat="1" applyFont="1" applyFill="1" applyBorder="1" applyAlignment="1">
      <alignment horizontal="center" vertical="center"/>
    </xf>
    <xf numFmtId="2" fontId="7" fillId="0" borderId="12" xfId="0" applyNumberFormat="1" applyFont="1" applyFill="1" applyBorder="1" applyAlignment="1">
      <alignment horizontal="center" vertical="center"/>
    </xf>
    <xf numFmtId="2" fontId="7" fillId="0" borderId="0" xfId="0" applyNumberFormat="1" applyFont="1" applyFill="1" applyBorder="1" applyAlignment="1">
      <alignment horizontal="center" vertical="center"/>
    </xf>
    <xf numFmtId="2" fontId="7" fillId="0" borderId="14" xfId="0" applyNumberFormat="1" applyFont="1" applyFill="1" applyBorder="1" applyAlignment="1">
      <alignment horizontal="center" vertical="center"/>
    </xf>
    <xf numFmtId="2" fontId="7" fillId="0" borderId="15" xfId="0" applyNumberFormat="1" applyFont="1" applyFill="1" applyBorder="1" applyAlignment="1">
      <alignment horizontal="center" vertical="center"/>
    </xf>
    <xf numFmtId="2" fontId="7" fillId="0" borderId="16" xfId="0" applyNumberFormat="1" applyFont="1" applyFill="1" applyBorder="1" applyAlignment="1">
      <alignment horizontal="center" vertical="center"/>
    </xf>
    <xf numFmtId="2" fontId="7" fillId="0" borderId="17" xfId="0" applyNumberFormat="1" applyFont="1" applyFill="1" applyBorder="1" applyAlignment="1">
      <alignment horizontal="center" vertical="center"/>
    </xf>
    <xf numFmtId="0" fontId="7" fillId="0" borderId="0" xfId="10" applyFont="1" applyBorder="1" applyAlignment="1">
      <alignment horizontal="center" vertical="center"/>
    </xf>
    <xf numFmtId="0" fontId="4" fillId="0" borderId="7" xfId="14" applyFont="1" applyBorder="1" applyAlignment="1">
      <alignment horizontal="center" vertical="center" wrapText="1"/>
    </xf>
    <xf numFmtId="0" fontId="4" fillId="0" borderId="10" xfId="14" applyFont="1" applyBorder="1" applyAlignment="1">
      <alignment horizontal="center" vertical="center" wrapText="1"/>
    </xf>
    <xf numFmtId="0" fontId="4" fillId="0" borderId="6" xfId="14" applyFont="1" applyBorder="1" applyAlignment="1">
      <alignment horizontal="center" vertical="center" wrapText="1"/>
    </xf>
    <xf numFmtId="0" fontId="6" fillId="0" borderId="0" xfId="10" applyFont="1" applyAlignment="1">
      <alignment horizontal="center" vertical="center"/>
    </xf>
    <xf numFmtId="0" fontId="6" fillId="7" borderId="0" xfId="10" applyFont="1" applyFill="1" applyAlignment="1">
      <alignment horizontal="center" vertical="center"/>
    </xf>
    <xf numFmtId="0" fontId="6" fillId="8" borderId="4" xfId="10" applyFont="1" applyFill="1" applyBorder="1" applyAlignment="1">
      <alignment horizontal="center" vertical="center" wrapText="1"/>
    </xf>
    <xf numFmtId="0" fontId="5" fillId="0" borderId="0" xfId="10" applyFont="1" applyBorder="1" applyAlignment="1">
      <alignment horizontal="center" vertical="center" wrapText="1"/>
    </xf>
    <xf numFmtId="0" fontId="6" fillId="0" borderId="0" xfId="10" applyFont="1" applyAlignment="1">
      <alignment horizontal="center" vertical="center" wrapText="1"/>
    </xf>
    <xf numFmtId="0" fontId="5" fillId="0" borderId="11" xfId="14" applyFont="1" applyBorder="1" applyAlignment="1">
      <alignment horizontal="center" vertical="center"/>
    </xf>
    <xf numFmtId="0" fontId="5" fillId="0" borderId="0" xfId="14" applyFont="1" applyBorder="1" applyAlignment="1">
      <alignment horizontal="center" vertical="center"/>
    </xf>
    <xf numFmtId="0" fontId="5" fillId="0" borderId="16" xfId="14" applyFont="1" applyBorder="1" applyAlignment="1">
      <alignment horizontal="center" vertical="center"/>
    </xf>
    <xf numFmtId="0" fontId="34" fillId="7" borderId="4" xfId="10" applyFont="1" applyFill="1" applyBorder="1" applyAlignment="1">
      <alignment vertical="center"/>
    </xf>
    <xf numFmtId="0" fontId="30" fillId="7" borderId="4" xfId="10" applyFont="1" applyFill="1" applyBorder="1"/>
    <xf numFmtId="43" fontId="30" fillId="7" borderId="4" xfId="10" applyNumberFormat="1" applyFont="1" applyFill="1" applyBorder="1"/>
  </cellXfs>
  <cellStyles count="71">
    <cellStyle name="Body" xfId="1" xr:uid="{00000000-0005-0000-0000-000000000000}"/>
    <cellStyle name="Comma" xfId="68" builtinId="3"/>
    <cellStyle name="Comma  - Style1" xfId="2" xr:uid="{00000000-0005-0000-0000-000002000000}"/>
    <cellStyle name="Comma 11 2" xfId="20" xr:uid="{00000000-0005-0000-0000-000003000000}"/>
    <cellStyle name="Comma 2" xfId="25" xr:uid="{00000000-0005-0000-0000-000004000000}"/>
    <cellStyle name="Comma 2 2" xfId="26" xr:uid="{00000000-0005-0000-0000-000005000000}"/>
    <cellStyle name="Comma 2 2 2" xfId="64" xr:uid="{00000000-0005-0000-0000-000006000000}"/>
    <cellStyle name="Comma 2 3" xfId="27" xr:uid="{00000000-0005-0000-0000-000007000000}"/>
    <cellStyle name="Comma 2 4" xfId="57" xr:uid="{00000000-0005-0000-0000-000008000000}"/>
    <cellStyle name="Comma 3" xfId="28" xr:uid="{00000000-0005-0000-0000-000009000000}"/>
    <cellStyle name="Comma 3 2" xfId="63" xr:uid="{00000000-0005-0000-0000-00000A000000}"/>
    <cellStyle name="Comma 4" xfId="29" xr:uid="{00000000-0005-0000-0000-00000B000000}"/>
    <cellStyle name="Comma 4 2" xfId="65" xr:uid="{00000000-0005-0000-0000-00000C000000}"/>
    <cellStyle name="Comma 5" xfId="30" xr:uid="{00000000-0005-0000-0000-00000D000000}"/>
    <cellStyle name="Comma 6" xfId="49" xr:uid="{00000000-0005-0000-0000-00000E000000}"/>
    <cellStyle name="Comma 6 2" xfId="50" xr:uid="{00000000-0005-0000-0000-00000F000000}"/>
    <cellStyle name="Comma 6 3" xfId="51" xr:uid="{00000000-0005-0000-0000-000010000000}"/>
    <cellStyle name="Comma 6 4" xfId="52" xr:uid="{00000000-0005-0000-0000-000011000000}"/>
    <cellStyle name="Comma 7" xfId="22" xr:uid="{00000000-0005-0000-0000-000012000000}"/>
    <cellStyle name="Comma 8" xfId="66" xr:uid="{00000000-0005-0000-0000-000013000000}"/>
    <cellStyle name="Curren - Style2" xfId="3" xr:uid="{00000000-0005-0000-0000-000014000000}"/>
    <cellStyle name="Grey" xfId="4" xr:uid="{00000000-0005-0000-0000-000015000000}"/>
    <cellStyle name="Header1" xfId="5" xr:uid="{00000000-0005-0000-0000-000016000000}"/>
    <cellStyle name="Header2" xfId="6" xr:uid="{00000000-0005-0000-0000-000017000000}"/>
    <cellStyle name="Input [yellow]" xfId="7" xr:uid="{00000000-0005-0000-0000-000018000000}"/>
    <cellStyle name="no dec" xfId="8" xr:uid="{00000000-0005-0000-0000-000019000000}"/>
    <cellStyle name="Normal" xfId="0" builtinId="0"/>
    <cellStyle name="Normal - Style1" xfId="9" xr:uid="{00000000-0005-0000-0000-00001B000000}"/>
    <cellStyle name="Normal 10" xfId="70" xr:uid="{00000000-0005-0000-0000-00001C000000}"/>
    <cellStyle name="Normal 15" xfId="19" xr:uid="{00000000-0005-0000-0000-00001D000000}"/>
    <cellStyle name="Normal 18" xfId="62" xr:uid="{00000000-0005-0000-0000-00001E000000}"/>
    <cellStyle name="Normal 2" xfId="10" xr:uid="{00000000-0005-0000-0000-00001F000000}"/>
    <cellStyle name="Normal 2 2" xfId="11" xr:uid="{00000000-0005-0000-0000-000020000000}"/>
    <cellStyle name="Normal 2 2 2" xfId="31" xr:uid="{00000000-0005-0000-0000-000021000000}"/>
    <cellStyle name="Normal 2 2 2 2" xfId="58" xr:uid="{00000000-0005-0000-0000-000022000000}"/>
    <cellStyle name="Normal 2 2_Working APR 2007-08 Mahagenco_Bhushan_1.3" xfId="32" xr:uid="{00000000-0005-0000-0000-000023000000}"/>
    <cellStyle name="Normal 2 3" xfId="12" xr:uid="{00000000-0005-0000-0000-000024000000}"/>
    <cellStyle name="Normal 2 4" xfId="53" xr:uid="{00000000-0005-0000-0000-000025000000}"/>
    <cellStyle name="Normal 2_ARR FINAL" xfId="33" xr:uid="{00000000-0005-0000-0000-000026000000}"/>
    <cellStyle name="Normal 3" xfId="13" xr:uid="{00000000-0005-0000-0000-000027000000}"/>
    <cellStyle name="Normal 3 2" xfId="34" xr:uid="{00000000-0005-0000-0000-000028000000}"/>
    <cellStyle name="Normal 3 2 2" xfId="59" xr:uid="{00000000-0005-0000-0000-000029000000}"/>
    <cellStyle name="Normal 39" xfId="23" xr:uid="{00000000-0005-0000-0000-00002A000000}"/>
    <cellStyle name="Normal 4" xfId="35" xr:uid="{00000000-0005-0000-0000-00002B000000}"/>
    <cellStyle name="Normal 4 2" xfId="60" xr:uid="{00000000-0005-0000-0000-00002C000000}"/>
    <cellStyle name="Normal 5" xfId="36" xr:uid="{00000000-0005-0000-0000-00002D000000}"/>
    <cellStyle name="Normal 5 2" xfId="37" xr:uid="{00000000-0005-0000-0000-00002E000000}"/>
    <cellStyle name="Normal 6" xfId="38" xr:uid="{00000000-0005-0000-0000-00002F000000}"/>
    <cellStyle name="Normal 7" xfId="39" xr:uid="{00000000-0005-0000-0000-000030000000}"/>
    <cellStyle name="Normal 8" xfId="54" xr:uid="{00000000-0005-0000-0000-000031000000}"/>
    <cellStyle name="Normal 9" xfId="55" xr:uid="{00000000-0005-0000-0000-000032000000}"/>
    <cellStyle name="Normal_FORMATS 5 YEAR ALOKE 2" xfId="14" xr:uid="{00000000-0005-0000-0000-000033000000}"/>
    <cellStyle name="Normal_FORMATS 5 YEAR ALOKE 3 2" xfId="15" xr:uid="{00000000-0005-0000-0000-000034000000}"/>
    <cellStyle name="Percent" xfId="69" builtinId="5"/>
    <cellStyle name="Percent [0]_#6 Temps &amp; Contractors" xfId="16" xr:uid="{00000000-0005-0000-0000-000036000000}"/>
    <cellStyle name="Percent [2]" xfId="17" xr:uid="{00000000-0005-0000-0000-000037000000}"/>
    <cellStyle name="Percent 2" xfId="40" xr:uid="{00000000-0005-0000-0000-000038000000}"/>
    <cellStyle name="Percent 2 2" xfId="41" xr:uid="{00000000-0005-0000-0000-000039000000}"/>
    <cellStyle name="Percent 2 3" xfId="61" xr:uid="{00000000-0005-0000-0000-00003A000000}"/>
    <cellStyle name="Percent 3" xfId="42" xr:uid="{00000000-0005-0000-0000-00003B000000}"/>
    <cellStyle name="Percent 3 2" xfId="43" xr:uid="{00000000-0005-0000-0000-00003C000000}"/>
    <cellStyle name="Percent 4" xfId="24" xr:uid="{00000000-0005-0000-0000-00003D000000}"/>
    <cellStyle name="Percent 41" xfId="21" xr:uid="{00000000-0005-0000-0000-00003E000000}"/>
    <cellStyle name="Percent 5" xfId="44" xr:uid="{00000000-0005-0000-0000-00003F000000}"/>
    <cellStyle name="Percent 5 2" xfId="45" xr:uid="{00000000-0005-0000-0000-000040000000}"/>
    <cellStyle name="Percent 5 3" xfId="46" xr:uid="{00000000-0005-0000-0000-000041000000}"/>
    <cellStyle name="Percent 6" xfId="47" xr:uid="{00000000-0005-0000-0000-000042000000}"/>
    <cellStyle name="Percent 6 2" xfId="48" xr:uid="{00000000-0005-0000-0000-000043000000}"/>
    <cellStyle name="Percent 7" xfId="67" xr:uid="{00000000-0005-0000-0000-000044000000}"/>
    <cellStyle name="Style 1" xfId="18" xr:uid="{00000000-0005-0000-0000-000045000000}"/>
    <cellStyle name="Style 2" xfId="56" xr:uid="{00000000-0005-0000-0000-000046000000}"/>
  </cellStyles>
  <dxfs count="0"/>
  <tableStyles count="0" defaultTableStyle="TableStyleMedium9" defaultPivotStyle="PivotStyleLight16"/>
  <colors>
    <mruColors>
      <color rgb="FFFBCB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ue%20Up%20and%20MYT%20Summary_FY26-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ssignments/Mahagenco/Bhusawal_Provisional_Tariff/Bhusawal%20Model_V7_Final_13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input"/>
      <sheetName val="Daily report"/>
      <sheetName val="OCM2"/>
      <sheetName val="OCM4"/>
      <sheetName val="OCM1"/>
      <sheetName val="OCM3"/>
      <sheetName val="OCM5"/>
      <sheetName val="OCM7"/>
      <sheetName val="INDEX"/>
      <sheetName val="OCM6"/>
      <sheetName val="highlight"/>
      <sheetName val="water"/>
      <sheetName val="AWARD"/>
      <sheetName val="CE"/>
      <sheetName val="hrawd"/>
      <sheetName val="2000-01"/>
      <sheetName val="04REL"/>
      <sheetName val="Daily_input"/>
      <sheetName val="Daily_report"/>
      <sheetName val="Inputs &amp; Assumptions"/>
      <sheetName val="Title"/>
      <sheetName val="Assumptions"/>
      <sheetName val="A 3.7"/>
      <sheetName val="water_bal"/>
      <sheetName val="A_3_7"/>
      <sheetName val="Clause 9"/>
      <sheetName val="Instruction Sheet"/>
      <sheetName val="SUMMERY"/>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o"/>
      <sheetName val="9.1 FY 23"/>
      <sheetName val="MCLR "/>
      <sheetName val="Incremental O&amp;M Koradi"/>
      <sheetName val="CPR8-9 UDL impact"/>
      <sheetName val="KRD_8-10 LD impact"/>
      <sheetName val="Parli8 UDL impact"/>
      <sheetName val="BTPS_4-5 LD Impact"/>
      <sheetName val="FY 19-20"/>
      <sheetName val="FY 20-21"/>
      <sheetName val="FY 21-22"/>
      <sheetName val="Others_MYT"/>
      <sheetName val="O&amp;M_normative"/>
      <sheetName val="Revenue loss due to higher aux"/>
      <sheetName val="Generation_MYT"/>
      <sheetName val="Sheet1"/>
      <sheetName val="Fuel Projection"/>
      <sheetName val="Op Parameters MYT"/>
      <sheetName val="FY 22-23"/>
      <sheetName val="FY 23-24"/>
      <sheetName val="FY 24-25 H1"/>
      <sheetName val="FY 24-25 H2"/>
      <sheetName val="FY 24-25 total"/>
      <sheetName val="Capitalisation_MYT"/>
      <sheetName val="FY 25-26"/>
      <sheetName val="FY 26-27"/>
      <sheetName val="FY 27-28"/>
      <sheetName val="FY 28-29"/>
      <sheetName val="FY 29-30"/>
      <sheetName val="COD's"/>
      <sheetName val="Esc rates"/>
      <sheetName val="O&amp;M_New Plants"/>
      <sheetName val="Limestone Cal."/>
      <sheetName val="Notinal interest"/>
      <sheetName val="FSA linkage"/>
      <sheetName val="Corporate Asset Add FY 23&amp;FY24"/>
      <sheetName val="Review Order claimed allow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35">
          <cell r="BQ135">
            <v>0.32202091077772643</v>
          </cell>
          <cell r="BR135">
            <v>0.1779790892222736</v>
          </cell>
        </row>
        <row r="153">
          <cell r="BQ153">
            <v>0.32202091077772643</v>
          </cell>
          <cell r="BR153">
            <v>0.1779790892222736</v>
          </cell>
        </row>
        <row r="171">
          <cell r="BQ171">
            <v>0.32202091077772643</v>
          </cell>
          <cell r="BR171">
            <v>0.1779790892222736</v>
          </cell>
        </row>
        <row r="189">
          <cell r="BQ189">
            <v>0.32202091077772643</v>
          </cell>
          <cell r="BR189">
            <v>0.1779790892222736</v>
          </cell>
        </row>
        <row r="207">
          <cell r="BQ207">
            <v>0.32202091077772643</v>
          </cell>
          <cell r="BR207">
            <v>0.1779790892222736</v>
          </cell>
        </row>
      </sheetData>
      <sheetData sheetId="17"/>
      <sheetData sheetId="18"/>
      <sheetData sheetId="19"/>
      <sheetData sheetId="20"/>
      <sheetData sheetId="21"/>
      <sheetData sheetId="22"/>
      <sheetData sheetId="23"/>
      <sheetData sheetId="24">
        <row r="61">
          <cell r="Z61">
            <v>3916.7704821332718</v>
          </cell>
        </row>
        <row r="62">
          <cell r="Z62">
            <v>4752.9185764872036</v>
          </cell>
        </row>
        <row r="268">
          <cell r="Z268">
            <v>10552.083333333334</v>
          </cell>
        </row>
        <row r="269">
          <cell r="Z269">
            <v>11111.5</v>
          </cell>
        </row>
        <row r="287">
          <cell r="Z287">
            <v>2675900</v>
          </cell>
        </row>
        <row r="288">
          <cell r="Z288">
            <v>480000</v>
          </cell>
        </row>
        <row r="292">
          <cell r="Z292">
            <v>1581.0180952015485</v>
          </cell>
        </row>
        <row r="293">
          <cell r="Z293">
            <v>873.81952913651753</v>
          </cell>
        </row>
        <row r="307">
          <cell r="Z307">
            <v>5116.0347542656709</v>
          </cell>
        </row>
        <row r="308">
          <cell r="Z308">
            <v>11716.087709443951</v>
          </cell>
        </row>
        <row r="312">
          <cell r="Z312">
            <v>54675.093210885832</v>
          </cell>
        </row>
        <row r="313">
          <cell r="Z313">
            <v>86180.747835868926</v>
          </cell>
        </row>
        <row r="836">
          <cell r="E836">
            <v>0.1045</v>
          </cell>
        </row>
        <row r="916">
          <cell r="Z916">
            <v>7.4999999999999997E-3</v>
          </cell>
        </row>
        <row r="917">
          <cell r="Z917">
            <v>0.89</v>
          </cell>
        </row>
        <row r="918">
          <cell r="Z918">
            <v>200</v>
          </cell>
        </row>
        <row r="921">
          <cell r="Z921">
            <v>0.95</v>
          </cell>
        </row>
        <row r="928">
          <cell r="Z928" t="str">
            <v>Limestone</v>
          </cell>
        </row>
        <row r="937">
          <cell r="Z937" t="str">
            <v>Ammonia</v>
          </cell>
        </row>
        <row r="938">
          <cell r="Z938">
            <v>0.6</v>
          </cell>
        </row>
        <row r="940">
          <cell r="Z940">
            <v>116.82</v>
          </cell>
        </row>
      </sheetData>
      <sheetData sheetId="25">
        <row r="61">
          <cell r="Z61">
            <v>3916.7704821332718</v>
          </cell>
        </row>
        <row r="62">
          <cell r="Z62">
            <v>4752.9185764872036</v>
          </cell>
        </row>
        <row r="268">
          <cell r="Z268">
            <v>10552.083333333334</v>
          </cell>
        </row>
        <row r="269">
          <cell r="Z269">
            <v>11111.5</v>
          </cell>
        </row>
        <row r="287">
          <cell r="Z287">
            <v>2676100</v>
          </cell>
        </row>
        <row r="288">
          <cell r="Z288">
            <v>480000</v>
          </cell>
        </row>
        <row r="292">
          <cell r="Z292">
            <v>1581.0180952015485</v>
          </cell>
        </row>
        <row r="293">
          <cell r="Z293">
            <v>873.81952913651753</v>
          </cell>
        </row>
        <row r="307">
          <cell r="Z307">
            <v>5371.8364919789547</v>
          </cell>
        </row>
        <row r="308">
          <cell r="Z308">
            <v>11716.087709443951</v>
          </cell>
        </row>
        <row r="312">
          <cell r="Z312">
            <v>57408.847871430124</v>
          </cell>
        </row>
        <row r="313">
          <cell r="Z313">
            <v>90489.785227662374</v>
          </cell>
        </row>
        <row r="916">
          <cell r="Z916">
            <v>7.4999999999999997E-3</v>
          </cell>
        </row>
        <row r="917">
          <cell r="Z917">
            <v>0.89</v>
          </cell>
        </row>
        <row r="918">
          <cell r="Z918">
            <v>200</v>
          </cell>
        </row>
        <row r="921">
          <cell r="Z921">
            <v>0.95</v>
          </cell>
        </row>
        <row r="928">
          <cell r="Z928" t="str">
            <v>Limestone</v>
          </cell>
        </row>
        <row r="937">
          <cell r="Z937" t="str">
            <v>Ammonia</v>
          </cell>
        </row>
        <row r="938">
          <cell r="Z938">
            <v>0.6</v>
          </cell>
        </row>
        <row r="940">
          <cell r="Z940">
            <v>116.82</v>
          </cell>
        </row>
      </sheetData>
      <sheetData sheetId="26">
        <row r="61">
          <cell r="Z61">
            <v>3916.7704821332718</v>
          </cell>
        </row>
        <row r="62">
          <cell r="Z62">
            <v>4752.9185764872036</v>
          </cell>
        </row>
        <row r="268">
          <cell r="Z268">
            <v>10552.083333333334</v>
          </cell>
        </row>
        <row r="269">
          <cell r="Z269">
            <v>11111.5</v>
          </cell>
        </row>
        <row r="287">
          <cell r="Z287">
            <v>2685800</v>
          </cell>
        </row>
        <row r="288">
          <cell r="Z288">
            <v>480000</v>
          </cell>
        </row>
        <row r="292">
          <cell r="Z292">
            <v>1581.0180952015485</v>
          </cell>
        </row>
        <row r="293">
          <cell r="Z293">
            <v>873.81952913651753</v>
          </cell>
        </row>
        <row r="307">
          <cell r="Z307">
            <v>5640.4283165779034</v>
          </cell>
        </row>
        <row r="308">
          <cell r="Z308">
            <v>11716.087709443951</v>
          </cell>
        </row>
        <row r="312">
          <cell r="Z312">
            <v>60279.290265001633</v>
          </cell>
        </row>
        <row r="313">
          <cell r="Z313">
            <v>95014.274489045492</v>
          </cell>
        </row>
        <row r="916">
          <cell r="Z916">
            <v>7.4999999999999997E-3</v>
          </cell>
        </row>
        <row r="917">
          <cell r="Z917">
            <v>0.89</v>
          </cell>
        </row>
        <row r="918">
          <cell r="Z918">
            <v>200</v>
          </cell>
        </row>
        <row r="921">
          <cell r="Z921">
            <v>0.95</v>
          </cell>
        </row>
        <row r="928">
          <cell r="Z928" t="str">
            <v>Limestone</v>
          </cell>
        </row>
        <row r="937">
          <cell r="Z937" t="str">
            <v>Ammonia</v>
          </cell>
        </row>
        <row r="938">
          <cell r="Z938">
            <v>0.6</v>
          </cell>
        </row>
        <row r="940">
          <cell r="Z940">
            <v>116.82</v>
          </cell>
        </row>
      </sheetData>
      <sheetData sheetId="27">
        <row r="61">
          <cell r="Z61">
            <v>3916.7704821332718</v>
          </cell>
        </row>
        <row r="62">
          <cell r="Z62">
            <v>4752.9185764872036</v>
          </cell>
        </row>
        <row r="268">
          <cell r="Z268">
            <v>10552.083333333334</v>
          </cell>
        </row>
        <row r="269">
          <cell r="Z269">
            <v>11111.5</v>
          </cell>
        </row>
        <row r="287">
          <cell r="Z287">
            <v>2676500</v>
          </cell>
        </row>
        <row r="288">
          <cell r="Z288">
            <v>480000</v>
          </cell>
        </row>
        <row r="292">
          <cell r="Z292">
            <v>1581.0180952015485</v>
          </cell>
        </row>
        <row r="293">
          <cell r="Z293">
            <v>873.81952913651753</v>
          </cell>
        </row>
        <row r="307">
          <cell r="Z307">
            <v>5922.4497324067988</v>
          </cell>
        </row>
        <row r="308">
          <cell r="Z308">
            <v>11716.087709443951</v>
          </cell>
        </row>
        <row r="312">
          <cell r="Z312">
            <v>63293.254778251714</v>
          </cell>
        </row>
        <row r="313">
          <cell r="Z313">
            <v>99764.988213497767</v>
          </cell>
        </row>
        <row r="916">
          <cell r="Z916">
            <v>7.4999999999999997E-3</v>
          </cell>
        </row>
        <row r="917">
          <cell r="Z917">
            <v>0.89</v>
          </cell>
        </row>
        <row r="918">
          <cell r="Z918">
            <v>200</v>
          </cell>
        </row>
        <row r="921">
          <cell r="Z921">
            <v>0.95</v>
          </cell>
        </row>
        <row r="928">
          <cell r="Z928" t="str">
            <v>Limestone</v>
          </cell>
        </row>
        <row r="937">
          <cell r="Z937" t="str">
            <v>Ammonia</v>
          </cell>
        </row>
        <row r="938">
          <cell r="Z938">
            <v>0.6</v>
          </cell>
        </row>
        <row r="940">
          <cell r="Z940">
            <v>116.82</v>
          </cell>
        </row>
      </sheetData>
      <sheetData sheetId="28">
        <row r="61">
          <cell r="Z61">
            <v>3916.7704821332718</v>
          </cell>
        </row>
        <row r="62">
          <cell r="Z62">
            <v>4752.9185764872036</v>
          </cell>
        </row>
        <row r="268">
          <cell r="Z268">
            <v>10552.083333333334</v>
          </cell>
        </row>
        <row r="269">
          <cell r="Z269">
            <v>11111.5</v>
          </cell>
        </row>
        <row r="287">
          <cell r="Z287">
            <v>2676000</v>
          </cell>
        </row>
        <row r="288">
          <cell r="Z288">
            <v>480000</v>
          </cell>
        </row>
        <row r="292">
          <cell r="Z292">
            <v>1581.0180952015485</v>
          </cell>
        </row>
        <row r="293">
          <cell r="Z293">
            <v>873.81952913651753</v>
          </cell>
        </row>
        <row r="307">
          <cell r="Z307">
            <v>6218.572219027139</v>
          </cell>
        </row>
        <row r="308">
          <cell r="Z308">
            <v>11716.087709443951</v>
          </cell>
        </row>
        <row r="312">
          <cell r="Z312">
            <v>66457.9175171643</v>
          </cell>
        </row>
        <row r="313">
          <cell r="Z313">
            <v>104753.23762417266</v>
          </cell>
        </row>
        <row r="916">
          <cell r="Z916">
            <v>7.4999999999999997E-3</v>
          </cell>
        </row>
        <row r="917">
          <cell r="Z917">
            <v>0.89</v>
          </cell>
        </row>
        <row r="918">
          <cell r="Z918">
            <v>200</v>
          </cell>
        </row>
        <row r="921">
          <cell r="Z921">
            <v>0.95</v>
          </cell>
        </row>
        <row r="928">
          <cell r="Z928" t="str">
            <v>Limestone</v>
          </cell>
        </row>
        <row r="937">
          <cell r="Z937" t="str">
            <v>Ammonia</v>
          </cell>
        </row>
        <row r="938">
          <cell r="Z938">
            <v>0.6</v>
          </cell>
        </row>
        <row r="940">
          <cell r="Z940">
            <v>116.82</v>
          </cell>
        </row>
      </sheetData>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
      <sheetName val="Ratio"/>
      <sheetName val="Bhusawal U-6 Tariff"/>
    </sheetNames>
    <sheetDataSet>
      <sheetData sheetId="0" refreshError="1"/>
      <sheetData sheetId="1" refreshError="1"/>
      <sheetData sheetId="2">
        <row r="41">
          <cell r="F41">
            <v>5331.5372179698879</v>
          </cell>
          <cell r="G41">
            <v>5598.1140788683824</v>
          </cell>
          <cell r="H41">
            <v>5878.0197828118007</v>
          </cell>
          <cell r="I41">
            <v>6171.9207719523911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44"/>
  <sheetViews>
    <sheetView showGridLines="0" view="pageBreakPreview" zoomScale="80" zoomScaleNormal="80" zoomScaleSheetLayoutView="80" workbookViewId="0">
      <selection activeCell="C11" sqref="C11"/>
    </sheetView>
  </sheetViews>
  <sheetFormatPr defaultColWidth="9.1796875" defaultRowHeight="14" x14ac:dyDescent="0.25"/>
  <cols>
    <col min="1" max="1" width="6.26953125" style="24" customWidth="1"/>
    <col min="2" max="2" width="9.1796875" style="24" customWidth="1"/>
    <col min="3" max="3" width="75.81640625" style="24" customWidth="1"/>
    <col min="4" max="4" width="17.7265625" style="24" customWidth="1"/>
    <col min="5" max="5" width="20.7265625" style="24" customWidth="1"/>
    <col min="6" max="14" width="18.7265625" style="24" customWidth="1"/>
    <col min="15" max="16384" width="9.1796875" style="24"/>
  </cols>
  <sheetData>
    <row r="2" spans="2:14" ht="15.5" x14ac:dyDescent="0.25">
      <c r="B2" s="438" t="s">
        <v>628</v>
      </c>
      <c r="C2" s="439"/>
      <c r="D2" s="439"/>
      <c r="E2" s="38"/>
      <c r="F2" s="38"/>
      <c r="G2" s="38"/>
      <c r="H2" s="38"/>
      <c r="I2" s="38"/>
      <c r="J2" s="38"/>
      <c r="K2" s="38"/>
      <c r="L2" s="38"/>
      <c r="M2" s="38"/>
      <c r="N2" s="38"/>
    </row>
    <row r="3" spans="2:14" s="9" customFormat="1" ht="15.5" x14ac:dyDescent="0.3">
      <c r="B3" s="440" t="s">
        <v>567</v>
      </c>
      <c r="C3" s="441"/>
      <c r="D3" s="441"/>
      <c r="E3" s="38"/>
      <c r="F3" s="38"/>
      <c r="G3" s="38"/>
      <c r="H3" s="38"/>
      <c r="I3" s="38"/>
      <c r="J3" s="38"/>
      <c r="K3" s="38"/>
      <c r="L3" s="38"/>
      <c r="M3" s="38"/>
      <c r="N3" s="38"/>
    </row>
    <row r="4" spans="2:14" ht="15.5" x14ac:dyDescent="0.25">
      <c r="B4" s="440" t="s">
        <v>629</v>
      </c>
      <c r="C4" s="441"/>
      <c r="D4" s="441"/>
      <c r="E4" s="39"/>
      <c r="F4" s="39"/>
      <c r="G4" s="39"/>
      <c r="H4" s="39"/>
      <c r="I4" s="39"/>
      <c r="J4" s="39"/>
      <c r="K4" s="39"/>
      <c r="L4" s="39"/>
      <c r="M4" s="39"/>
      <c r="N4" s="39"/>
    </row>
    <row r="5" spans="2:14" ht="15.5" x14ac:dyDescent="0.25">
      <c r="B5" s="39"/>
      <c r="C5" s="39"/>
      <c r="D5" s="39"/>
      <c r="E5" s="39"/>
      <c r="F5" s="39"/>
      <c r="G5" s="39"/>
      <c r="H5" s="39"/>
      <c r="I5" s="39"/>
      <c r="J5" s="39"/>
      <c r="K5" s="39"/>
      <c r="L5" s="39"/>
      <c r="M5" s="40"/>
      <c r="N5" s="39"/>
    </row>
    <row r="6" spans="2:14" x14ac:dyDescent="0.25">
      <c r="B6" s="442" t="s">
        <v>351</v>
      </c>
      <c r="C6" s="445" t="s">
        <v>25</v>
      </c>
      <c r="D6" s="445" t="s">
        <v>10</v>
      </c>
    </row>
    <row r="7" spans="2:14" x14ac:dyDescent="0.25">
      <c r="B7" s="443"/>
      <c r="C7" s="445"/>
      <c r="D7" s="445"/>
    </row>
    <row r="8" spans="2:14" x14ac:dyDescent="0.25">
      <c r="B8" s="444"/>
      <c r="C8" s="446"/>
      <c r="D8" s="446"/>
    </row>
    <row r="9" spans="2:14" ht="15.5" x14ac:dyDescent="0.25">
      <c r="B9" s="125">
        <v>1</v>
      </c>
      <c r="C9" s="124" t="s">
        <v>65</v>
      </c>
      <c r="D9" s="126" t="s">
        <v>23</v>
      </c>
    </row>
    <row r="10" spans="2:14" ht="15.5" x14ac:dyDescent="0.25">
      <c r="B10" s="125">
        <f>B9+1</f>
        <v>2</v>
      </c>
      <c r="C10" s="124" t="s">
        <v>383</v>
      </c>
      <c r="D10" s="126" t="s">
        <v>384</v>
      </c>
    </row>
    <row r="11" spans="2:14" ht="15.5" x14ac:dyDescent="0.25">
      <c r="B11" s="125">
        <f>B10+1</f>
        <v>3</v>
      </c>
      <c r="C11" s="124" t="s">
        <v>402</v>
      </c>
      <c r="D11" s="126" t="s">
        <v>67</v>
      </c>
    </row>
    <row r="12" spans="2:14" ht="15.5" x14ac:dyDescent="0.25">
      <c r="B12" s="125">
        <f>B11+1</f>
        <v>4</v>
      </c>
      <c r="C12" s="124" t="s">
        <v>66</v>
      </c>
      <c r="D12" s="126" t="s">
        <v>68</v>
      </c>
    </row>
    <row r="13" spans="2:14" ht="15.5" x14ac:dyDescent="0.25">
      <c r="B13" s="125">
        <f>B12+1</f>
        <v>5</v>
      </c>
      <c r="C13" s="124" t="s">
        <v>317</v>
      </c>
      <c r="D13" s="126" t="s">
        <v>70</v>
      </c>
    </row>
    <row r="14" spans="2:14" ht="15.5" x14ac:dyDescent="0.25">
      <c r="B14" s="125">
        <f t="shared" ref="B14:B39" si="0">B13+1</f>
        <v>6</v>
      </c>
      <c r="C14" s="124" t="s">
        <v>69</v>
      </c>
      <c r="D14" s="126" t="s">
        <v>72</v>
      </c>
    </row>
    <row r="15" spans="2:14" ht="15.5" x14ac:dyDescent="0.25">
      <c r="B15" s="125">
        <f t="shared" si="0"/>
        <v>7</v>
      </c>
      <c r="C15" s="124" t="s">
        <v>71</v>
      </c>
      <c r="D15" s="126" t="s">
        <v>74</v>
      </c>
    </row>
    <row r="16" spans="2:14" ht="15.5" x14ac:dyDescent="0.25">
      <c r="B16" s="125">
        <f t="shared" si="0"/>
        <v>8</v>
      </c>
      <c r="C16" s="127" t="s">
        <v>370</v>
      </c>
      <c r="D16" s="126" t="s">
        <v>76</v>
      </c>
    </row>
    <row r="17" spans="2:4" ht="15.5" x14ac:dyDescent="0.25">
      <c r="B17" s="125">
        <f t="shared" si="0"/>
        <v>9</v>
      </c>
      <c r="C17" s="127" t="s">
        <v>73</v>
      </c>
      <c r="D17" s="126" t="s">
        <v>369</v>
      </c>
    </row>
    <row r="18" spans="2:4" ht="15.5" x14ac:dyDescent="0.25">
      <c r="B18" s="125">
        <f t="shared" si="0"/>
        <v>10</v>
      </c>
      <c r="C18" s="124" t="s">
        <v>75</v>
      </c>
      <c r="D18" s="126" t="s">
        <v>401</v>
      </c>
    </row>
    <row r="19" spans="2:4" ht="15.5" x14ac:dyDescent="0.25">
      <c r="B19" s="125">
        <f t="shared" si="0"/>
        <v>11</v>
      </c>
      <c r="C19" s="128" t="s">
        <v>77</v>
      </c>
      <c r="D19" s="126" t="s">
        <v>52</v>
      </c>
    </row>
    <row r="20" spans="2:4" ht="15.5" x14ac:dyDescent="0.25">
      <c r="B20" s="125">
        <f t="shared" si="0"/>
        <v>12</v>
      </c>
      <c r="C20" s="128" t="s">
        <v>557</v>
      </c>
      <c r="D20" s="126" t="s">
        <v>78</v>
      </c>
    </row>
    <row r="21" spans="2:4" ht="15.5" x14ac:dyDescent="0.25">
      <c r="B21" s="125">
        <f t="shared" si="0"/>
        <v>13</v>
      </c>
      <c r="C21" s="128" t="s">
        <v>187</v>
      </c>
      <c r="D21" s="126" t="s">
        <v>79</v>
      </c>
    </row>
    <row r="22" spans="2:4" ht="15.5" x14ac:dyDescent="0.25">
      <c r="B22" s="125">
        <f t="shared" si="0"/>
        <v>14</v>
      </c>
      <c r="C22" s="128" t="s">
        <v>555</v>
      </c>
      <c r="D22" s="126" t="s">
        <v>80</v>
      </c>
    </row>
    <row r="23" spans="2:4" ht="15.5" x14ac:dyDescent="0.25">
      <c r="B23" s="125">
        <f t="shared" si="0"/>
        <v>15</v>
      </c>
      <c r="C23" s="124" t="s">
        <v>556</v>
      </c>
      <c r="D23" s="126" t="s">
        <v>81</v>
      </c>
    </row>
    <row r="24" spans="2:4" ht="15.5" x14ac:dyDescent="0.25">
      <c r="B24" s="125">
        <f t="shared" si="0"/>
        <v>16</v>
      </c>
      <c r="C24" s="124" t="s">
        <v>485</v>
      </c>
      <c r="D24" s="126" t="s">
        <v>53</v>
      </c>
    </row>
    <row r="25" spans="2:4" ht="15.5" x14ac:dyDescent="0.25">
      <c r="B25" s="125">
        <f t="shared" si="0"/>
        <v>17</v>
      </c>
      <c r="C25" s="124" t="s">
        <v>24</v>
      </c>
      <c r="D25" s="126" t="s">
        <v>406</v>
      </c>
    </row>
    <row r="26" spans="2:4" ht="15.5" x14ac:dyDescent="0.25">
      <c r="B26" s="125">
        <f t="shared" si="0"/>
        <v>18</v>
      </c>
      <c r="C26" s="124" t="s">
        <v>318</v>
      </c>
      <c r="D26" s="126" t="s">
        <v>407</v>
      </c>
    </row>
    <row r="27" spans="2:4" ht="15.5" x14ac:dyDescent="0.25">
      <c r="B27" s="125">
        <f t="shared" si="0"/>
        <v>19</v>
      </c>
      <c r="C27" s="124" t="s">
        <v>60</v>
      </c>
      <c r="D27" s="126" t="s">
        <v>486</v>
      </c>
    </row>
    <row r="28" spans="2:4" ht="15.5" x14ac:dyDescent="0.25">
      <c r="B28" s="125">
        <f t="shared" si="0"/>
        <v>20</v>
      </c>
      <c r="C28" s="124" t="s">
        <v>82</v>
      </c>
      <c r="D28" s="126" t="s">
        <v>83</v>
      </c>
    </row>
    <row r="29" spans="2:4" ht="15.5" x14ac:dyDescent="0.25">
      <c r="B29" s="125">
        <f t="shared" si="0"/>
        <v>21</v>
      </c>
      <c r="C29" s="128" t="s">
        <v>45</v>
      </c>
      <c r="D29" s="126" t="s">
        <v>84</v>
      </c>
    </row>
    <row r="30" spans="2:4" ht="15.5" x14ac:dyDescent="0.25">
      <c r="B30" s="125">
        <f t="shared" si="0"/>
        <v>22</v>
      </c>
      <c r="C30" s="124" t="s">
        <v>54</v>
      </c>
      <c r="D30" s="126" t="s">
        <v>86</v>
      </c>
    </row>
    <row r="31" spans="2:4" ht="15.5" x14ac:dyDescent="0.25">
      <c r="B31" s="125">
        <f t="shared" si="0"/>
        <v>23</v>
      </c>
      <c r="C31" s="124" t="s">
        <v>85</v>
      </c>
      <c r="D31" s="126" t="s">
        <v>87</v>
      </c>
    </row>
    <row r="32" spans="2:4" ht="15.5" x14ac:dyDescent="0.25">
      <c r="B32" s="125">
        <f t="shared" si="0"/>
        <v>24</v>
      </c>
      <c r="C32" s="128" t="s">
        <v>568</v>
      </c>
      <c r="D32" s="126" t="s">
        <v>88</v>
      </c>
    </row>
    <row r="33" spans="2:4" ht="15.5" x14ac:dyDescent="0.25">
      <c r="B33" s="125">
        <f t="shared" si="0"/>
        <v>25</v>
      </c>
      <c r="C33" s="234" t="s">
        <v>447</v>
      </c>
      <c r="D33" s="126" t="s">
        <v>319</v>
      </c>
    </row>
    <row r="34" spans="2:4" ht="15.5" x14ac:dyDescent="0.25">
      <c r="B34" s="125">
        <f t="shared" si="0"/>
        <v>26</v>
      </c>
      <c r="C34" s="128" t="s">
        <v>321</v>
      </c>
      <c r="D34" s="126" t="s">
        <v>320</v>
      </c>
    </row>
    <row r="35" spans="2:4" ht="15.5" x14ac:dyDescent="0.25">
      <c r="B35" s="125">
        <f>B34+1</f>
        <v>27</v>
      </c>
      <c r="C35" s="124" t="s">
        <v>451</v>
      </c>
      <c r="D35" s="126" t="s">
        <v>446</v>
      </c>
    </row>
    <row r="36" spans="2:4" ht="15.5" x14ac:dyDescent="0.25">
      <c r="B36" s="125">
        <f t="shared" si="0"/>
        <v>28</v>
      </c>
      <c r="C36" s="124" t="s">
        <v>331</v>
      </c>
      <c r="D36" s="126" t="s">
        <v>89</v>
      </c>
    </row>
    <row r="37" spans="2:4" ht="15.5" x14ac:dyDescent="0.25">
      <c r="B37" s="125">
        <f t="shared" si="0"/>
        <v>29</v>
      </c>
      <c r="C37" s="124" t="s">
        <v>322</v>
      </c>
      <c r="D37" s="126" t="s">
        <v>90</v>
      </c>
    </row>
    <row r="38" spans="2:4" ht="15.5" x14ac:dyDescent="0.25">
      <c r="B38" s="125">
        <f t="shared" si="0"/>
        <v>30</v>
      </c>
      <c r="C38" s="124" t="s">
        <v>100</v>
      </c>
      <c r="D38" s="126" t="s">
        <v>332</v>
      </c>
    </row>
    <row r="39" spans="2:4" ht="15.5" x14ac:dyDescent="0.25">
      <c r="B39" s="125">
        <f t="shared" si="0"/>
        <v>31</v>
      </c>
      <c r="C39" s="124" t="s">
        <v>323</v>
      </c>
      <c r="D39" s="126" t="s">
        <v>360</v>
      </c>
    </row>
    <row r="40" spans="2:4" ht="15.5" x14ac:dyDescent="0.25">
      <c r="B40" s="277">
        <v>32</v>
      </c>
      <c r="C40" s="278" t="s">
        <v>512</v>
      </c>
      <c r="D40" s="279" t="s">
        <v>619</v>
      </c>
    </row>
    <row r="41" spans="2:4" ht="15.5" x14ac:dyDescent="0.25">
      <c r="B41" s="277">
        <v>33</v>
      </c>
      <c r="C41" s="278" t="s">
        <v>523</v>
      </c>
      <c r="D41" s="279" t="s">
        <v>511</v>
      </c>
    </row>
    <row r="42" spans="2:4" ht="15.5" x14ac:dyDescent="0.25">
      <c r="B42" s="277">
        <v>34</v>
      </c>
      <c r="C42" s="278" t="s">
        <v>545</v>
      </c>
      <c r="D42" s="279" t="s">
        <v>524</v>
      </c>
    </row>
    <row r="44" spans="2:4" x14ac:dyDescent="0.25">
      <c r="B44" s="280"/>
    </row>
  </sheetData>
  <mergeCells count="6">
    <mergeCell ref="B2:D2"/>
    <mergeCell ref="B3:D3"/>
    <mergeCell ref="B6:B8"/>
    <mergeCell ref="C6:C8"/>
    <mergeCell ref="D6:D8"/>
    <mergeCell ref="B4:D4"/>
  </mergeCells>
  <phoneticPr fontId="20" type="noConversion"/>
  <pageMargins left="0.55000000000000004" right="0.23622047244094491" top="1.1023622047244095" bottom="0.98425196850393704" header="0.23622047244094491" footer="0.23622047244094491"/>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J21"/>
  <sheetViews>
    <sheetView showGridLines="0" zoomScale="80" zoomScaleNormal="80" zoomScaleSheetLayoutView="90" workbookViewId="0">
      <selection activeCell="G7" sqref="G7:J8"/>
    </sheetView>
  </sheetViews>
  <sheetFormatPr defaultColWidth="9.1796875" defaultRowHeight="14" x14ac:dyDescent="0.3"/>
  <cols>
    <col min="1" max="1" width="3.1796875" style="9" customWidth="1"/>
    <col min="2" max="2" width="8.26953125" style="9" customWidth="1"/>
    <col min="3" max="3" width="43.7265625" style="9" customWidth="1"/>
    <col min="4" max="4" width="15.7265625" style="9" customWidth="1"/>
    <col min="5" max="5" width="19" style="9" customWidth="1"/>
    <col min="6" max="10" width="18.26953125" style="9" customWidth="1"/>
    <col min="11" max="16384" width="9.1796875" style="9"/>
  </cols>
  <sheetData>
    <row r="2" spans="2:10" x14ac:dyDescent="0.3">
      <c r="B2" s="447" t="s">
        <v>628</v>
      </c>
      <c r="C2" s="447"/>
      <c r="D2" s="447"/>
      <c r="E2" s="447"/>
      <c r="F2" s="447"/>
      <c r="G2" s="382"/>
      <c r="H2" s="382"/>
      <c r="I2" s="382"/>
      <c r="J2" s="382"/>
    </row>
    <row r="3" spans="2:10" x14ac:dyDescent="0.3">
      <c r="B3" s="448" t="s">
        <v>598</v>
      </c>
      <c r="C3" s="448"/>
      <c r="D3" s="448"/>
      <c r="E3" s="448"/>
      <c r="F3" s="448"/>
      <c r="G3" s="383"/>
      <c r="H3" s="383"/>
      <c r="I3" s="383"/>
      <c r="J3" s="383"/>
    </row>
    <row r="4" spans="2:10" x14ac:dyDescent="0.3">
      <c r="B4" s="448" t="s">
        <v>399</v>
      </c>
      <c r="C4" s="448"/>
      <c r="D4" s="448"/>
      <c r="E4" s="448"/>
      <c r="F4" s="448"/>
      <c r="G4" s="383"/>
      <c r="H4" s="383"/>
      <c r="I4" s="383"/>
      <c r="J4" s="383"/>
    </row>
    <row r="5" spans="2:10" x14ac:dyDescent="0.3">
      <c r="B5" s="448" t="s">
        <v>629</v>
      </c>
      <c r="C5" s="448"/>
      <c r="D5" s="448"/>
      <c r="E5" s="448"/>
      <c r="F5" s="448"/>
      <c r="G5" s="383"/>
      <c r="H5" s="383"/>
      <c r="I5" s="383"/>
      <c r="J5" s="383"/>
    </row>
    <row r="6" spans="2:10" x14ac:dyDescent="0.3">
      <c r="B6" s="56"/>
      <c r="C6" s="26"/>
      <c r="D6" s="27"/>
    </row>
    <row r="7" spans="2:10" s="44" customFormat="1" ht="15.75" customHeight="1" x14ac:dyDescent="0.3">
      <c r="B7" s="473" t="s">
        <v>351</v>
      </c>
      <c r="C7" s="476" t="s">
        <v>49</v>
      </c>
      <c r="D7" s="449" t="s">
        <v>393</v>
      </c>
      <c r="E7" s="298" t="str">
        <f>'F1'!$E$7</f>
        <v>FY 2024-25</v>
      </c>
      <c r="F7" s="298" t="str">
        <f>'F1'!$F$7</f>
        <v>FY 2025-26</v>
      </c>
      <c r="G7" s="298" t="str">
        <f>'F1'!$G$7</f>
        <v>FY 2026-27</v>
      </c>
      <c r="H7" s="298" t="str">
        <f>'F1'!$H$7</f>
        <v>FY 2027-28</v>
      </c>
      <c r="I7" s="298" t="str">
        <f>'F1'!$I$7</f>
        <v>FY 2028-29</v>
      </c>
      <c r="J7" s="298" t="str">
        <f>'F1'!$J$7</f>
        <v>FY 2029-30</v>
      </c>
    </row>
    <row r="8" spans="2:10" s="14" customFormat="1" ht="15" customHeight="1" x14ac:dyDescent="0.3">
      <c r="B8" s="474"/>
      <c r="C8" s="477"/>
      <c r="D8" s="475"/>
      <c r="E8" s="285" t="s">
        <v>541</v>
      </c>
      <c r="F8" s="285" t="s">
        <v>541</v>
      </c>
      <c r="G8" s="400" t="str">
        <f>'F1'!$G$8</f>
        <v>Projection</v>
      </c>
      <c r="H8" s="400" t="str">
        <f>'F1'!$H$8</f>
        <v>Projection</v>
      </c>
      <c r="I8" s="400" t="str">
        <f>'F1'!$I$8</f>
        <v>Projection</v>
      </c>
      <c r="J8" s="400" t="str">
        <f>'F1'!$J$8</f>
        <v>Projection</v>
      </c>
    </row>
    <row r="9" spans="2:10" s="14" customFormat="1" x14ac:dyDescent="0.3">
      <c r="B9" s="141">
        <v>1</v>
      </c>
      <c r="C9" s="60" t="s">
        <v>392</v>
      </c>
      <c r="D9" s="142"/>
      <c r="E9" s="465" t="s">
        <v>640</v>
      </c>
      <c r="F9" s="467"/>
      <c r="G9" s="383"/>
      <c r="H9" s="383"/>
      <c r="I9" s="383"/>
      <c r="J9" s="383"/>
    </row>
    <row r="10" spans="2:10" s="14" customFormat="1" x14ac:dyDescent="0.3">
      <c r="B10" s="141">
        <v>2</v>
      </c>
      <c r="C10" s="60" t="s">
        <v>163</v>
      </c>
      <c r="D10" s="142"/>
      <c r="E10" s="468"/>
      <c r="F10" s="469"/>
      <c r="G10" s="383"/>
      <c r="H10" s="383"/>
      <c r="I10" s="383"/>
      <c r="J10" s="383"/>
    </row>
    <row r="11" spans="2:10" x14ac:dyDescent="0.3">
      <c r="B11" s="141">
        <v>3</v>
      </c>
      <c r="C11" s="60" t="s">
        <v>600</v>
      </c>
      <c r="D11" s="142"/>
      <c r="E11" s="468"/>
      <c r="F11" s="469"/>
      <c r="G11" s="383"/>
      <c r="H11" s="383"/>
      <c r="I11" s="383"/>
      <c r="J11" s="383"/>
    </row>
    <row r="12" spans="2:10" x14ac:dyDescent="0.3">
      <c r="B12" s="141">
        <v>4</v>
      </c>
      <c r="C12" s="143" t="s">
        <v>165</v>
      </c>
      <c r="D12" s="142"/>
      <c r="E12" s="468"/>
      <c r="F12" s="469"/>
      <c r="G12" s="383"/>
      <c r="H12" s="383"/>
      <c r="I12" s="383"/>
      <c r="J12" s="383"/>
    </row>
    <row r="13" spans="2:10" ht="13.9" customHeight="1" x14ac:dyDescent="0.3">
      <c r="B13" s="21"/>
      <c r="C13" s="20"/>
      <c r="D13" s="142"/>
      <c r="E13" s="468"/>
      <c r="F13" s="469"/>
      <c r="G13" s="383"/>
      <c r="H13" s="383"/>
      <c r="I13" s="383"/>
      <c r="J13" s="383"/>
    </row>
    <row r="14" spans="2:10" s="1" customFormat="1" x14ac:dyDescent="0.3">
      <c r="B14" s="144">
        <v>5</v>
      </c>
      <c r="C14" s="61" t="s">
        <v>166</v>
      </c>
      <c r="D14" s="142"/>
      <c r="E14" s="468"/>
      <c r="F14" s="469"/>
      <c r="G14" s="383"/>
      <c r="H14" s="383"/>
      <c r="I14" s="383"/>
      <c r="J14" s="383"/>
    </row>
    <row r="15" spans="2:10" s="1" customFormat="1" x14ac:dyDescent="0.3">
      <c r="B15" s="159">
        <v>6</v>
      </c>
      <c r="C15" s="60" t="s">
        <v>394</v>
      </c>
      <c r="D15" s="142"/>
      <c r="E15" s="468"/>
      <c r="F15" s="469"/>
      <c r="G15" s="383"/>
      <c r="H15" s="383"/>
      <c r="I15" s="383"/>
      <c r="J15" s="383"/>
    </row>
    <row r="16" spans="2:10" s="1" customFormat="1" x14ac:dyDescent="0.3">
      <c r="B16" s="141">
        <v>7</v>
      </c>
      <c r="C16" s="61" t="s">
        <v>98</v>
      </c>
      <c r="D16" s="20"/>
      <c r="E16" s="470"/>
      <c r="F16" s="472"/>
      <c r="G16" s="383"/>
      <c r="H16" s="383"/>
      <c r="I16" s="383"/>
      <c r="J16" s="383"/>
    </row>
    <row r="17" spans="2:4" s="1" customFormat="1" x14ac:dyDescent="0.3">
      <c r="B17" s="9"/>
      <c r="C17" s="45"/>
    </row>
    <row r="18" spans="2:4" x14ac:dyDescent="0.3">
      <c r="B18" s="15"/>
      <c r="C18" s="15"/>
      <c r="D18" s="15"/>
    </row>
    <row r="19" spans="2:4" x14ac:dyDescent="0.3">
      <c r="B19" s="15"/>
      <c r="C19" s="15"/>
      <c r="D19" s="15"/>
    </row>
    <row r="20" spans="2:4" x14ac:dyDescent="0.3">
      <c r="B20" s="15"/>
      <c r="C20" s="15"/>
      <c r="D20" s="15"/>
    </row>
    <row r="21" spans="2:4" x14ac:dyDescent="0.3">
      <c r="B21" s="15"/>
      <c r="C21" s="15"/>
    </row>
  </sheetData>
  <mergeCells count="8">
    <mergeCell ref="E9:F16"/>
    <mergeCell ref="B2:F2"/>
    <mergeCell ref="B3:F3"/>
    <mergeCell ref="B4:F4"/>
    <mergeCell ref="B5:F5"/>
    <mergeCell ref="B7:B8"/>
    <mergeCell ref="D7:D8"/>
    <mergeCell ref="C7:C8"/>
  </mergeCells>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J28"/>
  <sheetViews>
    <sheetView showGridLines="0" view="pageBreakPreview" zoomScale="80" zoomScaleNormal="80" zoomScaleSheetLayoutView="80" workbookViewId="0">
      <selection activeCell="F7" sqref="F7:I8"/>
    </sheetView>
  </sheetViews>
  <sheetFormatPr defaultColWidth="9.1796875" defaultRowHeight="14" x14ac:dyDescent="0.3"/>
  <cols>
    <col min="1" max="1" width="3.1796875" style="9" customWidth="1"/>
    <col min="2" max="2" width="8.26953125" style="9" customWidth="1"/>
    <col min="3" max="3" width="26.7265625" style="9" customWidth="1"/>
    <col min="4" max="10" width="15.7265625" style="9" customWidth="1"/>
    <col min="11" max="16384" width="9.1796875" style="9"/>
  </cols>
  <sheetData>
    <row r="2" spans="2:10" x14ac:dyDescent="0.3">
      <c r="B2" s="447" t="s">
        <v>628</v>
      </c>
      <c r="C2" s="439"/>
      <c r="D2" s="439"/>
      <c r="E2" s="439"/>
      <c r="F2" s="439"/>
      <c r="G2" s="439"/>
      <c r="H2" s="439"/>
      <c r="I2" s="439"/>
      <c r="J2" s="439"/>
    </row>
    <row r="3" spans="2:10" x14ac:dyDescent="0.3">
      <c r="B3" s="448" t="s">
        <v>598</v>
      </c>
      <c r="C3" s="439"/>
      <c r="D3" s="439"/>
      <c r="E3" s="439"/>
      <c r="F3" s="439"/>
      <c r="G3" s="439"/>
      <c r="H3" s="439"/>
      <c r="I3" s="439"/>
      <c r="J3" s="439"/>
    </row>
    <row r="4" spans="2:10" x14ac:dyDescent="0.3">
      <c r="B4" s="448" t="s">
        <v>400</v>
      </c>
      <c r="C4" s="439"/>
      <c r="D4" s="439"/>
      <c r="E4" s="439"/>
      <c r="F4" s="439"/>
      <c r="G4" s="439"/>
      <c r="H4" s="439"/>
      <c r="I4" s="439"/>
      <c r="J4" s="439"/>
    </row>
    <row r="5" spans="2:10" x14ac:dyDescent="0.3">
      <c r="B5" s="448" t="s">
        <v>629</v>
      </c>
      <c r="C5" s="439"/>
      <c r="D5" s="439"/>
      <c r="E5" s="439"/>
      <c r="F5" s="439"/>
      <c r="G5" s="439"/>
      <c r="H5" s="439"/>
      <c r="I5" s="439"/>
      <c r="J5" s="439"/>
    </row>
    <row r="6" spans="2:10" x14ac:dyDescent="0.3">
      <c r="B6" s="56"/>
      <c r="C6" s="26"/>
    </row>
    <row r="7" spans="2:10" s="44" customFormat="1" x14ac:dyDescent="0.3">
      <c r="B7" s="463" t="s">
        <v>11</v>
      </c>
      <c r="C7" s="464" t="s">
        <v>49</v>
      </c>
      <c r="D7" s="298" t="str">
        <f>'F1'!$E$7</f>
        <v>FY 2024-25</v>
      </c>
      <c r="E7" s="298" t="str">
        <f>'F1'!$F$7</f>
        <v>FY 2025-26</v>
      </c>
      <c r="F7" s="298" t="str">
        <f>'F1'!$G$7</f>
        <v>FY 2026-27</v>
      </c>
      <c r="G7" s="298" t="str">
        <f>'F1'!$H$7</f>
        <v>FY 2027-28</v>
      </c>
      <c r="H7" s="298" t="str">
        <f>'F1'!$I$7</f>
        <v>FY 2028-29</v>
      </c>
      <c r="I7" s="298" t="str">
        <f>'F1'!$J$7</f>
        <v>FY 2029-30</v>
      </c>
      <c r="J7" s="449" t="s">
        <v>40</v>
      </c>
    </row>
    <row r="8" spans="2:10" s="45" customFormat="1" ht="28" x14ac:dyDescent="0.25">
      <c r="B8" s="463"/>
      <c r="C8" s="464"/>
      <c r="D8" s="285" t="s">
        <v>569</v>
      </c>
      <c r="E8" s="285" t="s">
        <v>569</v>
      </c>
      <c r="F8" s="400" t="str">
        <f>'F1'!$G$8</f>
        <v>Projection</v>
      </c>
      <c r="G8" s="400" t="str">
        <f>'F1'!$H$8</f>
        <v>Projection</v>
      </c>
      <c r="H8" s="400" t="str">
        <f>'F1'!$I$8</f>
        <v>Projection</v>
      </c>
      <c r="I8" s="400" t="str">
        <f>'F1'!$J$8</f>
        <v>Projection</v>
      </c>
      <c r="J8" s="450"/>
    </row>
    <row r="9" spans="2:10" s="45" customFormat="1" x14ac:dyDescent="0.25">
      <c r="B9" s="164">
        <v>1</v>
      </c>
      <c r="C9" s="62" t="s">
        <v>343</v>
      </c>
      <c r="D9" s="465" t="s">
        <v>640</v>
      </c>
      <c r="E9" s="466"/>
      <c r="F9" s="466"/>
      <c r="G9" s="466"/>
      <c r="H9" s="466"/>
      <c r="I9" s="466"/>
      <c r="J9" s="467"/>
    </row>
    <row r="10" spans="2:10" s="14" customFormat="1" x14ac:dyDescent="0.3">
      <c r="B10" s="161" t="s">
        <v>171</v>
      </c>
      <c r="C10" s="58" t="s">
        <v>172</v>
      </c>
      <c r="D10" s="468"/>
      <c r="E10" s="448"/>
      <c r="F10" s="448"/>
      <c r="G10" s="448"/>
      <c r="H10" s="448"/>
      <c r="I10" s="448"/>
      <c r="J10" s="469"/>
    </row>
    <row r="11" spans="2:10" s="14" customFormat="1" x14ac:dyDescent="0.3">
      <c r="B11" s="141"/>
      <c r="C11" s="59" t="s">
        <v>173</v>
      </c>
      <c r="D11" s="468"/>
      <c r="E11" s="448"/>
      <c r="F11" s="448"/>
      <c r="G11" s="448"/>
      <c r="H11" s="448"/>
      <c r="I11" s="448"/>
      <c r="J11" s="469"/>
    </row>
    <row r="12" spans="2:10" s="14" customFormat="1" x14ac:dyDescent="0.3">
      <c r="B12" s="141"/>
      <c r="C12" s="59" t="s">
        <v>174</v>
      </c>
      <c r="D12" s="468"/>
      <c r="E12" s="448"/>
      <c r="F12" s="448"/>
      <c r="G12" s="448"/>
      <c r="H12" s="448"/>
      <c r="I12" s="448"/>
      <c r="J12" s="469"/>
    </row>
    <row r="13" spans="2:10" s="14" customFormat="1" x14ac:dyDescent="0.3">
      <c r="B13" s="141"/>
      <c r="C13" s="59" t="s">
        <v>175</v>
      </c>
      <c r="D13" s="468"/>
      <c r="E13" s="448"/>
      <c r="F13" s="448"/>
      <c r="G13" s="448"/>
      <c r="H13" s="448"/>
      <c r="I13" s="448"/>
      <c r="J13" s="469"/>
    </row>
    <row r="14" spans="2:10" s="14" customFormat="1" x14ac:dyDescent="0.3">
      <c r="B14" s="141"/>
      <c r="C14" s="60"/>
      <c r="D14" s="468"/>
      <c r="E14" s="448"/>
      <c r="F14" s="448"/>
      <c r="G14" s="448"/>
      <c r="H14" s="448"/>
      <c r="I14" s="448"/>
      <c r="J14" s="469"/>
    </row>
    <row r="15" spans="2:10" s="14" customFormat="1" x14ac:dyDescent="0.3">
      <c r="B15" s="161" t="s">
        <v>176</v>
      </c>
      <c r="C15" s="61" t="s">
        <v>177</v>
      </c>
      <c r="D15" s="468"/>
      <c r="E15" s="448"/>
      <c r="F15" s="448"/>
      <c r="G15" s="448"/>
      <c r="H15" s="448"/>
      <c r="I15" s="448"/>
      <c r="J15" s="469"/>
    </row>
    <row r="16" spans="2:10" s="14" customFormat="1" x14ac:dyDescent="0.3">
      <c r="B16" s="141"/>
      <c r="C16" s="59" t="s">
        <v>173</v>
      </c>
      <c r="D16" s="468"/>
      <c r="E16" s="448"/>
      <c r="F16" s="448"/>
      <c r="G16" s="448"/>
      <c r="H16" s="448"/>
      <c r="I16" s="448"/>
      <c r="J16" s="469"/>
    </row>
    <row r="17" spans="2:10" x14ac:dyDescent="0.3">
      <c r="B17" s="141"/>
      <c r="C17" s="59" t="s">
        <v>174</v>
      </c>
      <c r="D17" s="468"/>
      <c r="E17" s="448"/>
      <c r="F17" s="448"/>
      <c r="G17" s="448"/>
      <c r="H17" s="448"/>
      <c r="I17" s="448"/>
      <c r="J17" s="469"/>
    </row>
    <row r="18" spans="2:10" x14ac:dyDescent="0.3">
      <c r="B18" s="21"/>
      <c r="C18" s="59" t="s">
        <v>178</v>
      </c>
      <c r="D18" s="468"/>
      <c r="E18" s="448"/>
      <c r="F18" s="448"/>
      <c r="G18" s="448"/>
      <c r="H18" s="448"/>
      <c r="I18" s="448"/>
      <c r="J18" s="469"/>
    </row>
    <row r="19" spans="2:10" x14ac:dyDescent="0.3">
      <c r="B19" s="21"/>
      <c r="C19" s="61"/>
      <c r="D19" s="468"/>
      <c r="E19" s="448"/>
      <c r="F19" s="448"/>
      <c r="G19" s="448"/>
      <c r="H19" s="448"/>
      <c r="I19" s="448"/>
      <c r="J19" s="469"/>
    </row>
    <row r="20" spans="2:10" s="1" customFormat="1" ht="17.25" customHeight="1" x14ac:dyDescent="0.3">
      <c r="B20" s="145">
        <v>2</v>
      </c>
      <c r="C20" s="62" t="s">
        <v>344</v>
      </c>
      <c r="D20" s="468"/>
      <c r="E20" s="448"/>
      <c r="F20" s="448"/>
      <c r="G20" s="448"/>
      <c r="H20" s="448"/>
      <c r="I20" s="448"/>
      <c r="J20" s="469"/>
    </row>
    <row r="21" spans="2:10" s="1" customFormat="1" ht="17.25" customHeight="1" x14ac:dyDescent="0.3">
      <c r="B21" s="145"/>
      <c r="C21" s="62" t="s">
        <v>179</v>
      </c>
      <c r="D21" s="468"/>
      <c r="E21" s="448"/>
      <c r="F21" s="448"/>
      <c r="G21" s="448"/>
      <c r="H21" s="448"/>
      <c r="I21" s="448"/>
      <c r="J21" s="469"/>
    </row>
    <row r="22" spans="2:10" s="1" customFormat="1" ht="17.25" customHeight="1" x14ac:dyDescent="0.3">
      <c r="B22" s="145"/>
      <c r="C22" s="62" t="s">
        <v>179</v>
      </c>
      <c r="D22" s="468"/>
      <c r="E22" s="448"/>
      <c r="F22" s="448"/>
      <c r="G22" s="448"/>
      <c r="H22" s="448"/>
      <c r="I22" s="448"/>
      <c r="J22" s="469"/>
    </row>
    <row r="23" spans="2:10" s="1" customFormat="1" x14ac:dyDescent="0.3">
      <c r="B23" s="141"/>
      <c r="C23" s="61" t="s">
        <v>180</v>
      </c>
      <c r="D23" s="470"/>
      <c r="E23" s="471"/>
      <c r="F23" s="471"/>
      <c r="G23" s="471"/>
      <c r="H23" s="471"/>
      <c r="I23" s="471"/>
      <c r="J23" s="472"/>
    </row>
    <row r="24" spans="2:10" s="1" customFormat="1" x14ac:dyDescent="0.3">
      <c r="B24" s="9"/>
      <c r="C24" s="45"/>
    </row>
    <row r="25" spans="2:10" x14ac:dyDescent="0.3">
      <c r="B25" s="15"/>
      <c r="C25" s="15"/>
    </row>
    <row r="26" spans="2:10" x14ac:dyDescent="0.3">
      <c r="B26" s="15"/>
      <c r="C26" s="15"/>
    </row>
    <row r="27" spans="2:10" x14ac:dyDescent="0.3">
      <c r="B27" s="15"/>
      <c r="C27" s="15"/>
    </row>
    <row r="28" spans="2:10" x14ac:dyDescent="0.3">
      <c r="B28" s="15"/>
      <c r="C28" s="15"/>
    </row>
  </sheetData>
  <mergeCells count="8">
    <mergeCell ref="D9:J23"/>
    <mergeCell ref="B2:J2"/>
    <mergeCell ref="B3:J3"/>
    <mergeCell ref="B4:J4"/>
    <mergeCell ref="B7:B8"/>
    <mergeCell ref="C7:C8"/>
    <mergeCell ref="J7:J8"/>
    <mergeCell ref="B5:J5"/>
  </mergeCells>
  <pageMargins left="0.75" right="0.75" top="1" bottom="1" header="0.5" footer="0.5"/>
  <pageSetup paperSize="9"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17"/>
  <sheetViews>
    <sheetView showGridLines="0" view="pageBreakPreview" zoomScale="80" zoomScaleSheetLayoutView="80" workbookViewId="0">
      <selection activeCell="F10" sqref="F10"/>
    </sheetView>
  </sheetViews>
  <sheetFormatPr defaultColWidth="9.1796875" defaultRowHeight="14" x14ac:dyDescent="0.3"/>
  <cols>
    <col min="1" max="1" width="4.1796875" style="9" customWidth="1"/>
    <col min="2" max="2" width="6.26953125" style="9" customWidth="1"/>
    <col min="3" max="3" width="46.54296875" style="9" customWidth="1"/>
    <col min="4" max="4" width="17.54296875" style="9" customWidth="1"/>
    <col min="5" max="10" width="18.7265625" style="9" customWidth="1"/>
    <col min="11" max="11" width="20.54296875" style="9" customWidth="1"/>
    <col min="12" max="16384" width="9.1796875" style="9"/>
  </cols>
  <sheetData>
    <row r="1" spans="2:11" x14ac:dyDescent="0.3">
      <c r="B1" s="56"/>
    </row>
    <row r="2" spans="2:11" x14ac:dyDescent="0.3">
      <c r="B2" s="448" t="s">
        <v>628</v>
      </c>
      <c r="C2" s="439"/>
      <c r="D2" s="439"/>
      <c r="E2" s="439"/>
      <c r="F2" s="439"/>
      <c r="G2" s="439"/>
      <c r="H2" s="439"/>
      <c r="I2" s="439"/>
      <c r="J2" s="439"/>
      <c r="K2" s="439"/>
    </row>
    <row r="3" spans="2:11" x14ac:dyDescent="0.3">
      <c r="B3" s="448" t="s">
        <v>601</v>
      </c>
      <c r="C3" s="448"/>
      <c r="D3" s="448"/>
      <c r="E3" s="448"/>
      <c r="F3" s="448"/>
      <c r="G3" s="448"/>
      <c r="H3" s="448"/>
      <c r="I3" s="448"/>
      <c r="J3" s="448"/>
      <c r="K3" s="448"/>
    </row>
    <row r="4" spans="2:11" x14ac:dyDescent="0.3">
      <c r="B4" s="448" t="s">
        <v>554</v>
      </c>
      <c r="C4" s="439"/>
      <c r="D4" s="439"/>
      <c r="E4" s="439"/>
      <c r="F4" s="439"/>
      <c r="G4" s="439"/>
      <c r="H4" s="439"/>
      <c r="I4" s="439"/>
      <c r="J4" s="439"/>
      <c r="K4" s="439"/>
    </row>
    <row r="5" spans="2:11" x14ac:dyDescent="0.3">
      <c r="B5" s="448" t="s">
        <v>629</v>
      </c>
      <c r="C5" s="439"/>
      <c r="D5" s="439"/>
      <c r="E5" s="439"/>
      <c r="F5" s="439"/>
      <c r="G5" s="439"/>
      <c r="H5" s="439"/>
      <c r="I5" s="439"/>
      <c r="J5" s="439"/>
      <c r="K5" s="439"/>
    </row>
    <row r="6" spans="2:11" x14ac:dyDescent="0.3">
      <c r="K6" s="29" t="s">
        <v>16</v>
      </c>
    </row>
    <row r="7" spans="2:11" s="44" customFormat="1" ht="15" customHeight="1" x14ac:dyDescent="0.3">
      <c r="B7" s="486" t="s">
        <v>351</v>
      </c>
      <c r="C7" s="484" t="s">
        <v>49</v>
      </c>
      <c r="D7" s="458" t="s">
        <v>10</v>
      </c>
      <c r="E7" s="298" t="str">
        <f>'F1'!$E$7</f>
        <v>FY 2024-25</v>
      </c>
      <c r="F7" s="298" t="str">
        <f>'F1'!$F$7</f>
        <v>FY 2025-26</v>
      </c>
      <c r="G7" s="298" t="str">
        <f>'F1'!$G$7</f>
        <v>FY 2026-27</v>
      </c>
      <c r="H7" s="298" t="str">
        <f>'F1'!$H$7</f>
        <v>FY 2027-28</v>
      </c>
      <c r="I7" s="298" t="str">
        <f>'F1'!$I$7</f>
        <v>FY 2028-29</v>
      </c>
      <c r="J7" s="298" t="str">
        <f>'F1'!$J$7</f>
        <v>FY 2029-30</v>
      </c>
      <c r="K7" s="458" t="s">
        <v>40</v>
      </c>
    </row>
    <row r="8" spans="2:11" s="45" customFormat="1" x14ac:dyDescent="0.25">
      <c r="B8" s="487"/>
      <c r="C8" s="485"/>
      <c r="D8" s="458"/>
      <c r="E8" s="300" t="s">
        <v>569</v>
      </c>
      <c r="F8" s="300" t="s">
        <v>569</v>
      </c>
      <c r="G8" s="400" t="str">
        <f>'F1'!$G$8</f>
        <v>Projection</v>
      </c>
      <c r="H8" s="400" t="str">
        <f>'F1'!$H$8</f>
        <v>Projection</v>
      </c>
      <c r="I8" s="400" t="str">
        <f>'F1'!$I$8</f>
        <v>Projection</v>
      </c>
      <c r="J8" s="400" t="str">
        <f>'F1'!$J$8</f>
        <v>Projection</v>
      </c>
      <c r="K8" s="458"/>
    </row>
    <row r="9" spans="2:11" s="90" customFormat="1" ht="18.649999999999999" customHeight="1" x14ac:dyDescent="0.3">
      <c r="B9" s="200">
        <v>1</v>
      </c>
      <c r="C9" s="171" t="s">
        <v>182</v>
      </c>
      <c r="D9" s="201" t="s">
        <v>78</v>
      </c>
      <c r="E9" s="338">
        <f>'F3.1'!D28</f>
        <v>18.736767123287667</v>
      </c>
      <c r="F9" s="338">
        <f>'F3.1'!E28</f>
        <v>159.786</v>
      </c>
      <c r="G9" s="338">
        <f>'F3.1'!F28</f>
        <v>166.71600000000001</v>
      </c>
      <c r="H9" s="338">
        <f>'F3.1'!G28</f>
        <v>173.976</v>
      </c>
      <c r="I9" s="338">
        <f>'F3.1'!H28</f>
        <v>181.5</v>
      </c>
      <c r="J9" s="338">
        <f>'F3.1'!I28</f>
        <v>188.69400000000002</v>
      </c>
      <c r="K9" s="275"/>
    </row>
    <row r="10" spans="2:11" s="90" customFormat="1" ht="18.649999999999999" customHeight="1" x14ac:dyDescent="0.3">
      <c r="B10" s="200">
        <f>B9+1</f>
        <v>2</v>
      </c>
      <c r="C10" s="171" t="s">
        <v>635</v>
      </c>
      <c r="D10" s="201" t="s">
        <v>78</v>
      </c>
      <c r="E10" s="339">
        <f>'F3.1'!D31</f>
        <v>0</v>
      </c>
      <c r="F10" s="339">
        <f>'F3.1'!E31</f>
        <v>12.661042896438355</v>
      </c>
      <c r="G10" s="339">
        <f>'F3.1'!F31</f>
        <v>17.596285071739999</v>
      </c>
      <c r="H10" s="339">
        <f>'F3.1'!G31</f>
        <v>18.358204215346337</v>
      </c>
      <c r="I10" s="339">
        <f>'F3.1'!H31</f>
        <v>19.153114457870835</v>
      </c>
      <c r="J10" s="339">
        <f>'F3.1'!I31</f>
        <v>19.982444313896639</v>
      </c>
      <c r="K10" s="340"/>
    </row>
    <row r="11" spans="2:11" s="90" customFormat="1" ht="18.649999999999999" customHeight="1" x14ac:dyDescent="0.3">
      <c r="B11" s="200">
        <f t="shared" ref="B11:B16" si="0">B9+1</f>
        <v>2</v>
      </c>
      <c r="C11" s="91" t="s">
        <v>183</v>
      </c>
      <c r="D11" s="201" t="s">
        <v>79</v>
      </c>
      <c r="E11" s="478"/>
      <c r="F11" s="478"/>
      <c r="G11" s="386"/>
      <c r="H11" s="386"/>
      <c r="I11" s="386"/>
      <c r="J11" s="386"/>
      <c r="K11" s="481"/>
    </row>
    <row r="12" spans="2:11" s="90" customFormat="1" ht="18.649999999999999" customHeight="1" x14ac:dyDescent="0.3">
      <c r="B12" s="200">
        <f t="shared" si="0"/>
        <v>3</v>
      </c>
      <c r="C12" s="91" t="s">
        <v>184</v>
      </c>
      <c r="D12" s="201" t="s">
        <v>80</v>
      </c>
      <c r="E12" s="479"/>
      <c r="F12" s="479"/>
      <c r="G12" s="387"/>
      <c r="H12" s="387"/>
      <c r="I12" s="387"/>
      <c r="J12" s="387"/>
      <c r="K12" s="482"/>
    </row>
    <row r="13" spans="2:11" s="92" customFormat="1" ht="18.649999999999999" customHeight="1" x14ac:dyDescent="0.3">
      <c r="B13" s="200">
        <f t="shared" si="0"/>
        <v>3</v>
      </c>
      <c r="C13" s="91" t="s">
        <v>185</v>
      </c>
      <c r="D13" s="201" t="s">
        <v>81</v>
      </c>
      <c r="E13" s="480"/>
      <c r="F13" s="480"/>
      <c r="G13" s="388"/>
      <c r="H13" s="388"/>
      <c r="I13" s="388"/>
      <c r="J13" s="388"/>
      <c r="K13" s="483"/>
    </row>
    <row r="14" spans="2:11" s="92" customFormat="1" ht="18.649999999999999" customHeight="1" x14ac:dyDescent="0.25">
      <c r="B14" s="200">
        <f t="shared" si="0"/>
        <v>4</v>
      </c>
      <c r="C14" s="91" t="s">
        <v>186</v>
      </c>
      <c r="D14" s="201"/>
      <c r="E14" s="91"/>
      <c r="F14" s="91"/>
      <c r="G14" s="91"/>
      <c r="H14" s="91"/>
      <c r="I14" s="91"/>
      <c r="J14" s="91"/>
      <c r="K14" s="91"/>
    </row>
    <row r="15" spans="2:11" s="92" customFormat="1" ht="18.649999999999999" customHeight="1" x14ac:dyDescent="0.25">
      <c r="B15" s="200">
        <f t="shared" si="0"/>
        <v>4</v>
      </c>
      <c r="C15" s="91" t="s">
        <v>530</v>
      </c>
      <c r="D15" s="201"/>
      <c r="E15" s="91"/>
      <c r="F15" s="91"/>
      <c r="G15" s="91"/>
      <c r="H15" s="91"/>
      <c r="I15" s="91"/>
      <c r="J15" s="91"/>
      <c r="K15" s="91"/>
    </row>
    <row r="16" spans="2:11" s="66" customFormat="1" ht="33.65" customHeight="1" x14ac:dyDescent="0.25">
      <c r="B16" s="200">
        <f t="shared" si="0"/>
        <v>5</v>
      </c>
      <c r="C16" s="203" t="s">
        <v>403</v>
      </c>
      <c r="D16" s="204"/>
      <c r="E16" s="342">
        <f t="shared" ref="E16:J16" si="1">SUM(E9:E15)</f>
        <v>18.736767123287667</v>
      </c>
      <c r="F16" s="342">
        <f t="shared" si="1"/>
        <v>172.44704289643835</v>
      </c>
      <c r="G16" s="342">
        <f t="shared" si="1"/>
        <v>184.31228507174001</v>
      </c>
      <c r="H16" s="342">
        <f t="shared" si="1"/>
        <v>192.33420421534635</v>
      </c>
      <c r="I16" s="342">
        <f t="shared" si="1"/>
        <v>200.65311445787083</v>
      </c>
      <c r="J16" s="342">
        <f t="shared" si="1"/>
        <v>208.67644431389667</v>
      </c>
      <c r="K16" s="205"/>
    </row>
    <row r="17" spans="1:11" s="1" customFormat="1" ht="15.75" customHeight="1" x14ac:dyDescent="0.3">
      <c r="A17" s="9"/>
      <c r="B17" s="9"/>
      <c r="E17" s="9"/>
      <c r="F17" s="9"/>
      <c r="G17" s="9"/>
      <c r="H17" s="9"/>
      <c r="I17" s="9"/>
      <c r="J17" s="9"/>
      <c r="K17" s="9"/>
    </row>
  </sheetData>
  <mergeCells count="11">
    <mergeCell ref="E11:E13"/>
    <mergeCell ref="F11:F13"/>
    <mergeCell ref="K11:K13"/>
    <mergeCell ref="B2:K2"/>
    <mergeCell ref="B3:K3"/>
    <mergeCell ref="B4:K4"/>
    <mergeCell ref="D7:D8"/>
    <mergeCell ref="C7:C8"/>
    <mergeCell ref="B7:B8"/>
    <mergeCell ref="K7:K8"/>
    <mergeCell ref="B5:K5"/>
  </mergeCells>
  <pageMargins left="1.02" right="0.25" top="1" bottom="1" header="0.25" footer="0.25"/>
  <pageSetup paperSize="9" scale="65" orientation="landscape" r:id="rId1"/>
  <headerFooter alignWithMargins="0">
    <oddHeader>&amp;F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O43"/>
  <sheetViews>
    <sheetView showGridLines="0" view="pageBreakPreview" topLeftCell="A3" zoomScale="60" zoomScaleNormal="80" workbookViewId="0">
      <selection activeCell="E31" sqref="E31"/>
    </sheetView>
  </sheetViews>
  <sheetFormatPr defaultColWidth="9.1796875" defaultRowHeight="14" x14ac:dyDescent="0.3"/>
  <cols>
    <col min="1" max="1" width="9.1796875" style="1"/>
    <col min="2" max="2" width="7.26953125" style="1" customWidth="1"/>
    <col min="3" max="3" width="44.81640625" style="1" customWidth="1"/>
    <col min="4" max="14" width="15" style="1" customWidth="1"/>
    <col min="15" max="16384" width="9.1796875" style="1"/>
  </cols>
  <sheetData>
    <row r="1" spans="2:15" x14ac:dyDescent="0.3">
      <c r="B1" s="447" t="s">
        <v>628</v>
      </c>
      <c r="C1" s="447"/>
      <c r="D1" s="447"/>
      <c r="E1" s="447"/>
      <c r="F1" s="447"/>
      <c r="G1" s="447"/>
      <c r="H1" s="447"/>
      <c r="I1" s="447"/>
      <c r="J1" s="447"/>
      <c r="K1" s="447"/>
      <c r="L1" s="447"/>
      <c r="M1" s="447"/>
      <c r="N1" s="447"/>
      <c r="O1" s="447"/>
    </row>
    <row r="2" spans="2:15" x14ac:dyDescent="0.3">
      <c r="B2" s="448" t="s">
        <v>570</v>
      </c>
      <c r="C2" s="448"/>
      <c r="D2" s="448"/>
      <c r="E2" s="448"/>
      <c r="F2" s="448"/>
      <c r="G2" s="448"/>
      <c r="H2" s="448"/>
      <c r="I2" s="448"/>
      <c r="J2" s="448"/>
      <c r="K2" s="448"/>
      <c r="L2" s="448"/>
      <c r="M2" s="448"/>
      <c r="N2" s="448"/>
      <c r="O2" s="448"/>
    </row>
    <row r="3" spans="2:15" x14ac:dyDescent="0.3">
      <c r="B3" s="448" t="s">
        <v>558</v>
      </c>
      <c r="C3" s="448"/>
      <c r="D3" s="448"/>
      <c r="E3" s="448"/>
      <c r="F3" s="448"/>
      <c r="G3" s="448"/>
      <c r="H3" s="448"/>
      <c r="I3" s="448"/>
      <c r="J3" s="448"/>
      <c r="K3" s="448"/>
      <c r="L3" s="448"/>
      <c r="M3" s="448"/>
      <c r="N3" s="448"/>
      <c r="O3" s="448"/>
    </row>
    <row r="4" spans="2:15" x14ac:dyDescent="0.3">
      <c r="B4" s="448" t="s">
        <v>629</v>
      </c>
      <c r="C4" s="448"/>
      <c r="D4" s="448"/>
      <c r="E4" s="448"/>
      <c r="F4" s="448"/>
      <c r="G4" s="448"/>
      <c r="H4" s="448"/>
      <c r="I4" s="448"/>
      <c r="J4" s="448"/>
      <c r="K4" s="448"/>
      <c r="L4" s="448"/>
      <c r="M4" s="448"/>
      <c r="N4" s="448"/>
      <c r="O4" s="448"/>
    </row>
    <row r="6" spans="2:15" x14ac:dyDescent="0.3">
      <c r="B6" s="488" t="s">
        <v>461</v>
      </c>
      <c r="C6" s="488"/>
      <c r="D6" s="488"/>
      <c r="E6" s="488"/>
      <c r="F6" s="389"/>
      <c r="G6" s="389"/>
      <c r="H6" s="389"/>
      <c r="I6" s="389"/>
    </row>
    <row r="8" spans="2:15" ht="15" customHeight="1" x14ac:dyDescent="0.3">
      <c r="B8" s="489" t="s">
        <v>351</v>
      </c>
      <c r="C8" s="489" t="s">
        <v>49</v>
      </c>
      <c r="D8" s="298" t="str">
        <f>'F1'!$E$7</f>
        <v>FY 2024-25</v>
      </c>
      <c r="E8" s="298" t="str">
        <f>'F1'!$F$7</f>
        <v>FY 2025-26</v>
      </c>
      <c r="F8" s="298" t="str">
        <f>'F1'!$G$7</f>
        <v>FY 2026-27</v>
      </c>
      <c r="G8" s="298" t="str">
        <f>'F1'!$H$7</f>
        <v>FY 2027-28</v>
      </c>
      <c r="H8" s="298" t="str">
        <f>'F1'!$I$7</f>
        <v>FY 2028-29</v>
      </c>
      <c r="I8" s="298" t="str">
        <f>'F1'!$J$7</f>
        <v>FY 2029-30</v>
      </c>
      <c r="J8" s="458" t="s">
        <v>40</v>
      </c>
    </row>
    <row r="9" spans="2:15" ht="28" x14ac:dyDescent="0.3">
      <c r="B9" s="489"/>
      <c r="C9" s="490"/>
      <c r="D9" s="286" t="s">
        <v>569</v>
      </c>
      <c r="E9" s="286" t="s">
        <v>569</v>
      </c>
      <c r="F9" s="400" t="str">
        <f>'F1'!$G$8</f>
        <v>Projection</v>
      </c>
      <c r="G9" s="400" t="str">
        <f>'F1'!$H$8</f>
        <v>Projection</v>
      </c>
      <c r="H9" s="400" t="str">
        <f>'F1'!$I$8</f>
        <v>Projection</v>
      </c>
      <c r="I9" s="400" t="str">
        <f>'F1'!$J$8</f>
        <v>Projection</v>
      </c>
      <c r="J9" s="458"/>
    </row>
    <row r="10" spans="2:15" x14ac:dyDescent="0.3">
      <c r="B10" s="133" t="s">
        <v>181</v>
      </c>
      <c r="C10" s="111" t="s">
        <v>188</v>
      </c>
      <c r="D10" s="276"/>
      <c r="E10" s="276"/>
      <c r="F10" s="276"/>
      <c r="G10" s="276"/>
      <c r="H10" s="276"/>
      <c r="I10" s="276"/>
      <c r="J10" s="276"/>
    </row>
    <row r="11" spans="2:15" x14ac:dyDescent="0.3">
      <c r="B11" s="134">
        <v>1</v>
      </c>
      <c r="C11" s="20" t="s">
        <v>189</v>
      </c>
      <c r="D11" s="276"/>
      <c r="E11" s="276"/>
      <c r="F11" s="276"/>
      <c r="G11" s="276"/>
      <c r="H11" s="276"/>
      <c r="I11" s="276"/>
      <c r="J11" s="276"/>
    </row>
    <row r="12" spans="2:15" x14ac:dyDescent="0.3">
      <c r="B12" s="134">
        <v>2</v>
      </c>
      <c r="C12" s="20" t="s">
        <v>335</v>
      </c>
      <c r="D12" s="276"/>
      <c r="E12" s="276"/>
      <c r="F12" s="276"/>
      <c r="G12" s="276"/>
      <c r="H12" s="276"/>
      <c r="I12" s="276"/>
      <c r="J12" s="276"/>
    </row>
    <row r="13" spans="2:15" x14ac:dyDescent="0.3">
      <c r="B13" s="134">
        <v>3</v>
      </c>
      <c r="C13" s="20" t="s">
        <v>190</v>
      </c>
      <c r="D13" s="276"/>
      <c r="E13" s="276"/>
      <c r="F13" s="276"/>
      <c r="G13" s="276"/>
      <c r="H13" s="276"/>
      <c r="I13" s="276"/>
      <c r="J13" s="276"/>
    </row>
    <row r="14" spans="2:15" x14ac:dyDescent="0.3">
      <c r="B14" s="134">
        <v>4</v>
      </c>
      <c r="C14" s="20" t="s">
        <v>531</v>
      </c>
      <c r="D14" s="276">
        <v>17.27</v>
      </c>
      <c r="E14" s="276">
        <v>24.21</v>
      </c>
      <c r="F14" s="276">
        <v>25.26</v>
      </c>
      <c r="G14" s="276">
        <v>26.36</v>
      </c>
      <c r="H14" s="276">
        <v>27.5</v>
      </c>
      <c r="I14" s="276">
        <v>28.59</v>
      </c>
      <c r="J14" s="276"/>
    </row>
    <row r="15" spans="2:15" x14ac:dyDescent="0.3">
      <c r="B15" s="134">
        <v>5</v>
      </c>
      <c r="C15" s="20" t="s">
        <v>532</v>
      </c>
      <c r="D15" s="276"/>
      <c r="E15" s="276"/>
      <c r="F15" s="276"/>
      <c r="G15" s="276"/>
      <c r="H15" s="276"/>
      <c r="I15" s="276"/>
      <c r="J15" s="276"/>
    </row>
    <row r="16" spans="2:15" x14ac:dyDescent="0.3">
      <c r="B16" s="134"/>
      <c r="C16" s="20"/>
      <c r="D16" s="276"/>
      <c r="E16" s="276"/>
      <c r="F16" s="276"/>
      <c r="G16" s="276"/>
      <c r="H16" s="276"/>
      <c r="I16" s="276"/>
      <c r="J16" s="276"/>
    </row>
    <row r="17" spans="2:10" x14ac:dyDescent="0.3">
      <c r="B17" s="133" t="s">
        <v>191</v>
      </c>
      <c r="C17" s="111" t="s">
        <v>462</v>
      </c>
      <c r="D17" s="276"/>
      <c r="E17" s="276"/>
      <c r="F17" s="276"/>
      <c r="G17" s="276"/>
      <c r="H17" s="276"/>
      <c r="I17" s="276"/>
      <c r="J17" s="276"/>
    </row>
    <row r="18" spans="2:10" x14ac:dyDescent="0.3">
      <c r="B18" s="134">
        <v>1</v>
      </c>
      <c r="C18" s="20" t="s">
        <v>189</v>
      </c>
      <c r="D18" s="276"/>
      <c r="E18" s="276"/>
      <c r="F18" s="276"/>
      <c r="G18" s="276"/>
      <c r="H18" s="276"/>
      <c r="I18" s="276"/>
      <c r="J18" s="276"/>
    </row>
    <row r="19" spans="2:10" x14ac:dyDescent="0.3">
      <c r="B19" s="134">
        <v>2</v>
      </c>
      <c r="C19" s="20" t="s">
        <v>335</v>
      </c>
      <c r="D19" s="276"/>
      <c r="E19" s="276"/>
      <c r="F19" s="276"/>
      <c r="G19" s="276"/>
      <c r="H19" s="276"/>
      <c r="I19" s="276"/>
      <c r="J19" s="276"/>
    </row>
    <row r="20" spans="2:10" x14ac:dyDescent="0.3">
      <c r="B20" s="134">
        <v>3</v>
      </c>
      <c r="C20" s="20" t="s">
        <v>190</v>
      </c>
      <c r="D20" s="276"/>
      <c r="E20" s="276"/>
      <c r="F20" s="276"/>
      <c r="G20" s="276"/>
      <c r="H20" s="276"/>
      <c r="I20" s="276"/>
      <c r="J20" s="276"/>
    </row>
    <row r="21" spans="2:10" x14ac:dyDescent="0.3">
      <c r="B21" s="134">
        <v>4</v>
      </c>
      <c r="C21" s="20" t="s">
        <v>533</v>
      </c>
      <c r="D21" s="341">
        <f>'F2.2'!E11</f>
        <v>660</v>
      </c>
      <c r="E21" s="341">
        <f>'F2.2'!F11</f>
        <v>660</v>
      </c>
      <c r="F21" s="341">
        <f>'F2.2'!G11</f>
        <v>660</v>
      </c>
      <c r="G21" s="341">
        <f>'F2.2'!H11</f>
        <v>660</v>
      </c>
      <c r="H21" s="341">
        <f>'F2.2'!I11</f>
        <v>660</v>
      </c>
      <c r="I21" s="341">
        <f>'F2.2'!J11</f>
        <v>660</v>
      </c>
      <c r="J21" s="276"/>
    </row>
    <row r="22" spans="2:10" x14ac:dyDescent="0.3">
      <c r="B22" s="134">
        <v>5</v>
      </c>
      <c r="C22" s="20" t="s">
        <v>532</v>
      </c>
      <c r="D22" s="276"/>
      <c r="E22" s="276"/>
      <c r="F22" s="276"/>
      <c r="G22" s="276"/>
      <c r="H22" s="276"/>
      <c r="I22" s="276"/>
      <c r="J22" s="276"/>
    </row>
    <row r="23" spans="2:10" x14ac:dyDescent="0.3">
      <c r="B23" s="134"/>
      <c r="C23" s="20"/>
      <c r="D23" s="276"/>
      <c r="E23" s="276"/>
      <c r="F23" s="276"/>
      <c r="G23" s="276"/>
      <c r="H23" s="276"/>
      <c r="I23" s="276"/>
      <c r="J23" s="276"/>
    </row>
    <row r="24" spans="2:10" x14ac:dyDescent="0.3">
      <c r="B24" s="133" t="s">
        <v>192</v>
      </c>
      <c r="C24" s="111" t="s">
        <v>636</v>
      </c>
      <c r="D24" s="276"/>
      <c r="E24" s="276"/>
      <c r="F24" s="276"/>
      <c r="G24" s="276"/>
      <c r="H24" s="276"/>
      <c r="I24" s="276"/>
      <c r="J24" s="276"/>
    </row>
    <row r="25" spans="2:10" x14ac:dyDescent="0.3">
      <c r="B25" s="134">
        <v>1</v>
      </c>
      <c r="C25" s="20" t="s">
        <v>189</v>
      </c>
      <c r="D25" s="276"/>
      <c r="E25" s="276"/>
      <c r="F25" s="276"/>
      <c r="G25" s="276"/>
      <c r="H25" s="276"/>
      <c r="I25" s="276"/>
      <c r="J25" s="276"/>
    </row>
    <row r="26" spans="2:10" x14ac:dyDescent="0.3">
      <c r="B26" s="134">
        <v>2</v>
      </c>
      <c r="C26" s="20" t="s">
        <v>335</v>
      </c>
      <c r="D26" s="276"/>
      <c r="E26" s="276"/>
      <c r="F26" s="276"/>
      <c r="G26" s="276"/>
      <c r="H26" s="276"/>
      <c r="I26" s="276"/>
      <c r="J26" s="276"/>
    </row>
    <row r="27" spans="2:10" x14ac:dyDescent="0.3">
      <c r="B27" s="134">
        <v>3</v>
      </c>
      <c r="C27" s="20" t="s">
        <v>190</v>
      </c>
      <c r="D27" s="276"/>
      <c r="E27" s="276"/>
      <c r="F27" s="276"/>
      <c r="G27" s="276"/>
      <c r="H27" s="276"/>
      <c r="I27" s="276"/>
      <c r="J27" s="276"/>
    </row>
    <row r="28" spans="2:10" x14ac:dyDescent="0.3">
      <c r="B28" s="153">
        <v>4</v>
      </c>
      <c r="C28" s="49" t="s">
        <v>533</v>
      </c>
      <c r="D28" s="374">
        <f>D14*D21/100/365*60</f>
        <v>18.736767123287667</v>
      </c>
      <c r="E28" s="374">
        <f>E14*E21/100</f>
        <v>159.786</v>
      </c>
      <c r="F28" s="374">
        <f>F14*F21/100</f>
        <v>166.71600000000001</v>
      </c>
      <c r="G28" s="374">
        <f>G14*G21/100</f>
        <v>173.976</v>
      </c>
      <c r="H28" s="374">
        <f>H14*H21/100</f>
        <v>181.5</v>
      </c>
      <c r="I28" s="374">
        <f>I14*I21/100</f>
        <v>188.69400000000002</v>
      </c>
      <c r="J28" s="375"/>
    </row>
    <row r="29" spans="2:10" x14ac:dyDescent="0.3">
      <c r="B29" s="134">
        <v>5</v>
      </c>
      <c r="C29" s="20" t="s">
        <v>532</v>
      </c>
      <c r="D29" s="276"/>
      <c r="E29" s="276"/>
      <c r="F29" s="276"/>
      <c r="G29" s="276"/>
      <c r="H29" s="276"/>
      <c r="I29" s="276"/>
      <c r="J29" s="276"/>
    </row>
    <row r="30" spans="2:10" x14ac:dyDescent="0.3">
      <c r="B30" s="55"/>
      <c r="C30" s="9"/>
    </row>
    <row r="31" spans="2:10" s="4" customFormat="1" x14ac:dyDescent="0.3">
      <c r="B31" s="434">
        <v>4.3299999999999998E-2</v>
      </c>
      <c r="C31" s="373" t="s">
        <v>637</v>
      </c>
      <c r="D31" s="435">
        <f>808.3*2%/365*(0)</f>
        <v>0</v>
      </c>
      <c r="E31" s="435">
        <f>'F4'!$E$13*2%*(1+4.33%)/365*274</f>
        <v>12.661042896438355</v>
      </c>
      <c r="F31" s="435">
        <f>'F4'!$E$13*2%*(1+4.33%)^2</f>
        <v>17.596285071739999</v>
      </c>
      <c r="G31" s="435">
        <f>'F4'!$E$13*2%*(1+4.33%)^3</f>
        <v>18.358204215346337</v>
      </c>
      <c r="H31" s="435">
        <f>'F4'!$E$13*2%*(1+4.33%)^4</f>
        <v>19.153114457870835</v>
      </c>
      <c r="I31" s="435">
        <f>'F4'!$E$13*2%*(1+4.33%)^5</f>
        <v>19.982444313896639</v>
      </c>
      <c r="J31" s="6"/>
    </row>
    <row r="32" spans="2:10" x14ac:dyDescent="0.3">
      <c r="B32" s="55"/>
      <c r="C32" s="9"/>
    </row>
    <row r="33" spans="2:10" x14ac:dyDescent="0.3">
      <c r="B33" s="55"/>
      <c r="C33" s="9"/>
    </row>
    <row r="34" spans="2:10" x14ac:dyDescent="0.3">
      <c r="B34" s="55"/>
      <c r="C34" s="9"/>
    </row>
    <row r="35" spans="2:10" x14ac:dyDescent="0.3">
      <c r="B35" s="55"/>
      <c r="C35" s="9"/>
    </row>
    <row r="36" spans="2:10" x14ac:dyDescent="0.3">
      <c r="B36" s="488" t="s">
        <v>525</v>
      </c>
      <c r="C36" s="488"/>
    </row>
    <row r="37" spans="2:10" x14ac:dyDescent="0.3">
      <c r="J37" s="29" t="s">
        <v>16</v>
      </c>
    </row>
    <row r="38" spans="2:10" x14ac:dyDescent="0.3">
      <c r="B38" s="489" t="s">
        <v>351</v>
      </c>
      <c r="C38" s="489" t="s">
        <v>49</v>
      </c>
      <c r="D38" s="301" t="s">
        <v>507</v>
      </c>
      <c r="E38" s="301" t="s">
        <v>653</v>
      </c>
      <c r="F38" s="301"/>
      <c r="G38" s="301"/>
      <c r="H38" s="301"/>
      <c r="I38" s="301"/>
      <c r="J38" s="458" t="s">
        <v>40</v>
      </c>
    </row>
    <row r="39" spans="2:10" ht="28" x14ac:dyDescent="0.3">
      <c r="B39" s="489"/>
      <c r="C39" s="490"/>
      <c r="D39" s="286" t="s">
        <v>569</v>
      </c>
      <c r="E39" s="286" t="s">
        <v>569</v>
      </c>
      <c r="F39" s="385"/>
      <c r="G39" s="385"/>
      <c r="H39" s="385"/>
      <c r="I39" s="385"/>
      <c r="J39" s="458"/>
    </row>
    <row r="40" spans="2:10" x14ac:dyDescent="0.3">
      <c r="B40" s="172">
        <v>1</v>
      </c>
      <c r="C40" s="47" t="s">
        <v>526</v>
      </c>
      <c r="D40" s="20"/>
      <c r="E40" s="20"/>
      <c r="F40" s="20"/>
      <c r="G40" s="20"/>
      <c r="H40" s="20"/>
      <c r="I40" s="20"/>
      <c r="J40" s="20"/>
    </row>
    <row r="41" spans="2:10" x14ac:dyDescent="0.3">
      <c r="B41" s="134">
        <v>2</v>
      </c>
      <c r="C41" s="20" t="s">
        <v>527</v>
      </c>
      <c r="D41" s="20"/>
      <c r="E41" s="20"/>
      <c r="F41" s="20"/>
      <c r="G41" s="20"/>
      <c r="H41" s="20"/>
      <c r="I41" s="20"/>
      <c r="J41" s="20"/>
    </row>
    <row r="42" spans="2:10" x14ac:dyDescent="0.3">
      <c r="B42" s="134">
        <v>3</v>
      </c>
      <c r="C42" s="20" t="s">
        <v>528</v>
      </c>
      <c r="D42" s="20"/>
      <c r="E42" s="20"/>
      <c r="F42" s="20"/>
      <c r="G42" s="20"/>
      <c r="H42" s="20"/>
      <c r="I42" s="20"/>
      <c r="J42" s="20"/>
    </row>
    <row r="43" spans="2:10" x14ac:dyDescent="0.3">
      <c r="B43" s="134" t="s">
        <v>477</v>
      </c>
      <c r="C43" s="20"/>
      <c r="D43" s="20"/>
      <c r="E43" s="20"/>
      <c r="F43" s="20"/>
      <c r="G43" s="20"/>
      <c r="H43" s="20"/>
      <c r="I43" s="20"/>
      <c r="J43" s="20"/>
    </row>
  </sheetData>
  <mergeCells count="12">
    <mergeCell ref="J8:J9"/>
    <mergeCell ref="J38:J39"/>
    <mergeCell ref="B6:E6"/>
    <mergeCell ref="B1:O1"/>
    <mergeCell ref="B2:O2"/>
    <mergeCell ref="B3:O3"/>
    <mergeCell ref="B4:O4"/>
    <mergeCell ref="B38:B39"/>
    <mergeCell ref="C38:C39"/>
    <mergeCell ref="B36:C36"/>
    <mergeCell ref="B8:B9"/>
    <mergeCell ref="C8:C9"/>
  </mergeCell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J75"/>
  <sheetViews>
    <sheetView showGridLines="0" view="pageBreakPreview" zoomScale="90" zoomScaleNormal="75" zoomScaleSheetLayoutView="90" workbookViewId="0">
      <selection activeCell="F8" sqref="F8:I9"/>
    </sheetView>
  </sheetViews>
  <sheetFormatPr defaultColWidth="9.1796875" defaultRowHeight="14" x14ac:dyDescent="0.25"/>
  <cols>
    <col min="1" max="1" width="6.81640625" style="24" customWidth="1"/>
    <col min="2" max="2" width="7" style="24" customWidth="1"/>
    <col min="3" max="3" width="42.54296875" style="24" customWidth="1"/>
    <col min="4" max="9" width="16.7265625" style="24" customWidth="1"/>
    <col min="10" max="10" width="13.54296875" style="24" customWidth="1"/>
    <col min="11" max="16384" width="9.1796875" style="24"/>
  </cols>
  <sheetData>
    <row r="2" spans="2:10" x14ac:dyDescent="0.25">
      <c r="B2" s="447" t="s">
        <v>628</v>
      </c>
      <c r="C2" s="439"/>
      <c r="D2" s="439"/>
      <c r="E2" s="439"/>
      <c r="F2" s="381"/>
      <c r="G2" s="381"/>
      <c r="H2" s="381"/>
      <c r="I2" s="381"/>
    </row>
    <row r="3" spans="2:10" s="9" customFormat="1" x14ac:dyDescent="0.3">
      <c r="B3" s="448" t="s">
        <v>570</v>
      </c>
      <c r="C3" s="439"/>
      <c r="D3" s="439"/>
      <c r="E3" s="439"/>
      <c r="F3" s="381"/>
      <c r="G3" s="381"/>
      <c r="H3" s="381"/>
      <c r="I3" s="381"/>
    </row>
    <row r="4" spans="2:10" s="9" customFormat="1" x14ac:dyDescent="0.3">
      <c r="B4" s="448" t="s">
        <v>193</v>
      </c>
      <c r="C4" s="439"/>
      <c r="D4" s="439"/>
      <c r="E4" s="439"/>
      <c r="F4" s="381"/>
      <c r="G4" s="381"/>
      <c r="H4" s="381"/>
      <c r="I4" s="381"/>
    </row>
    <row r="5" spans="2:10" s="9" customFormat="1" x14ac:dyDescent="0.3">
      <c r="B5" s="448" t="s">
        <v>629</v>
      </c>
      <c r="C5" s="439"/>
      <c r="D5" s="439"/>
      <c r="E5" s="439"/>
      <c r="F5" s="381"/>
      <c r="G5" s="381"/>
      <c r="H5" s="381"/>
      <c r="I5" s="381"/>
    </row>
    <row r="6" spans="2:10" x14ac:dyDescent="0.25">
      <c r="B6" s="30" t="s">
        <v>194</v>
      </c>
    </row>
    <row r="7" spans="2:10" x14ac:dyDescent="0.25">
      <c r="E7" s="29" t="s">
        <v>16</v>
      </c>
      <c r="F7" s="29"/>
      <c r="G7" s="29"/>
      <c r="H7" s="29"/>
      <c r="I7" s="29"/>
    </row>
    <row r="8" spans="2:10" ht="12.75" customHeight="1" x14ac:dyDescent="0.25">
      <c r="B8" s="451" t="s">
        <v>11</v>
      </c>
      <c r="C8" s="451" t="s">
        <v>49</v>
      </c>
      <c r="D8" s="298" t="str">
        <f>'F1'!$E$7</f>
        <v>FY 2024-25</v>
      </c>
      <c r="E8" s="298" t="str">
        <f>'F1'!$F$7</f>
        <v>FY 2025-26</v>
      </c>
      <c r="F8" s="298" t="str">
        <f>'F1'!$G$7</f>
        <v>FY 2026-27</v>
      </c>
      <c r="G8" s="298" t="str">
        <f>'F1'!$H$7</f>
        <v>FY 2027-28</v>
      </c>
      <c r="H8" s="298" t="str">
        <f>'F1'!$I$7</f>
        <v>FY 2028-29</v>
      </c>
      <c r="I8" s="298" t="str">
        <f>'F1'!$J$7</f>
        <v>FY 2029-30</v>
      </c>
      <c r="J8" s="491"/>
    </row>
    <row r="9" spans="2:10" ht="28" x14ac:dyDescent="0.25">
      <c r="B9" s="451"/>
      <c r="C9" s="451"/>
      <c r="D9" s="299" t="s">
        <v>569</v>
      </c>
      <c r="E9" s="299" t="s">
        <v>569</v>
      </c>
      <c r="F9" s="400" t="str">
        <f>'F1'!$G$8</f>
        <v>Projection</v>
      </c>
      <c r="G9" s="400" t="str">
        <f>'F1'!$H$8</f>
        <v>Projection</v>
      </c>
      <c r="H9" s="400" t="str">
        <f>'F1'!$I$8</f>
        <v>Projection</v>
      </c>
      <c r="I9" s="400" t="str">
        <f>'F1'!$J$8</f>
        <v>Projection</v>
      </c>
      <c r="J9" s="491"/>
    </row>
    <row r="10" spans="2:10" x14ac:dyDescent="0.3">
      <c r="B10" s="102">
        <v>1</v>
      </c>
      <c r="C10" s="20" t="s">
        <v>195</v>
      </c>
      <c r="D10" s="465" t="s">
        <v>652</v>
      </c>
      <c r="E10" s="467"/>
      <c r="F10" s="383"/>
      <c r="G10" s="383"/>
      <c r="H10" s="383"/>
      <c r="I10" s="383"/>
      <c r="J10" s="64"/>
    </row>
    <row r="11" spans="2:10" x14ac:dyDescent="0.3">
      <c r="B11" s="102">
        <v>2</v>
      </c>
      <c r="C11" s="20" t="s">
        <v>196</v>
      </c>
      <c r="D11" s="468"/>
      <c r="E11" s="469"/>
      <c r="F11" s="383"/>
      <c r="G11" s="383"/>
      <c r="H11" s="383"/>
      <c r="I11" s="383"/>
      <c r="J11" s="64"/>
    </row>
    <row r="12" spans="2:10" x14ac:dyDescent="0.25">
      <c r="B12" s="102">
        <v>3</v>
      </c>
      <c r="C12" s="32" t="s">
        <v>197</v>
      </c>
      <c r="D12" s="468"/>
      <c r="E12" s="469"/>
      <c r="F12" s="383"/>
      <c r="G12" s="383"/>
      <c r="H12" s="383"/>
      <c r="I12" s="383"/>
      <c r="J12" s="64"/>
    </row>
    <row r="13" spans="2:10" x14ac:dyDescent="0.3">
      <c r="B13" s="102">
        <v>4</v>
      </c>
      <c r="C13" s="20" t="s">
        <v>198</v>
      </c>
      <c r="D13" s="468"/>
      <c r="E13" s="469"/>
      <c r="F13" s="383"/>
      <c r="G13" s="383"/>
      <c r="H13" s="383"/>
      <c r="I13" s="383"/>
      <c r="J13" s="64"/>
    </row>
    <row r="14" spans="2:10" x14ac:dyDescent="0.3">
      <c r="B14" s="102">
        <v>5</v>
      </c>
      <c r="C14" s="20" t="s">
        <v>199</v>
      </c>
      <c r="D14" s="468"/>
      <c r="E14" s="469"/>
      <c r="F14" s="383"/>
      <c r="G14" s="383"/>
      <c r="H14" s="383"/>
      <c r="I14" s="383"/>
      <c r="J14" s="64"/>
    </row>
    <row r="15" spans="2:10" x14ac:dyDescent="0.25">
      <c r="B15" s="102">
        <v>6</v>
      </c>
      <c r="C15" s="32" t="s">
        <v>200</v>
      </c>
      <c r="D15" s="468"/>
      <c r="E15" s="469"/>
      <c r="F15" s="383"/>
      <c r="G15" s="383"/>
      <c r="H15" s="383"/>
      <c r="I15" s="383"/>
      <c r="J15" s="64"/>
    </row>
    <row r="16" spans="2:10" x14ac:dyDescent="0.3">
      <c r="B16" s="102">
        <v>7</v>
      </c>
      <c r="C16" s="20" t="s">
        <v>201</v>
      </c>
      <c r="D16" s="468"/>
      <c r="E16" s="469"/>
      <c r="F16" s="383"/>
      <c r="G16" s="383"/>
      <c r="H16" s="383"/>
      <c r="I16" s="383"/>
      <c r="J16" s="64"/>
    </row>
    <row r="17" spans="2:10" x14ac:dyDescent="0.3">
      <c r="B17" s="102">
        <v>8</v>
      </c>
      <c r="C17" s="20" t="s">
        <v>202</v>
      </c>
      <c r="D17" s="468"/>
      <c r="E17" s="469"/>
      <c r="F17" s="383"/>
      <c r="G17" s="383"/>
      <c r="H17" s="383"/>
      <c r="I17" s="383"/>
      <c r="J17" s="64"/>
    </row>
    <row r="18" spans="2:10" x14ac:dyDescent="0.3">
      <c r="B18" s="102">
        <v>9</v>
      </c>
      <c r="C18" s="20" t="s">
        <v>203</v>
      </c>
      <c r="D18" s="468"/>
      <c r="E18" s="469"/>
      <c r="F18" s="383"/>
      <c r="G18" s="383"/>
      <c r="H18" s="383"/>
      <c r="I18" s="383"/>
      <c r="J18" s="64"/>
    </row>
    <row r="19" spans="2:10" x14ac:dyDescent="0.3">
      <c r="B19" s="102">
        <v>10</v>
      </c>
      <c r="C19" s="20" t="s">
        <v>204</v>
      </c>
      <c r="D19" s="468"/>
      <c r="E19" s="469"/>
      <c r="F19" s="383"/>
      <c r="G19" s="383"/>
      <c r="H19" s="383"/>
      <c r="I19" s="383"/>
      <c r="J19" s="64"/>
    </row>
    <row r="20" spans="2:10" x14ac:dyDescent="0.3">
      <c r="B20" s="102">
        <v>11</v>
      </c>
      <c r="C20" s="20" t="s">
        <v>205</v>
      </c>
      <c r="D20" s="468"/>
      <c r="E20" s="469"/>
      <c r="F20" s="383"/>
      <c r="G20" s="383"/>
      <c r="H20" s="383"/>
      <c r="I20" s="383"/>
      <c r="J20" s="64"/>
    </row>
    <row r="21" spans="2:10" x14ac:dyDescent="0.3">
      <c r="B21" s="102">
        <v>12</v>
      </c>
      <c r="C21" s="20" t="s">
        <v>206</v>
      </c>
      <c r="D21" s="468"/>
      <c r="E21" s="469"/>
      <c r="F21" s="383"/>
      <c r="G21" s="383"/>
      <c r="H21" s="383"/>
      <c r="I21" s="383"/>
      <c r="J21" s="64"/>
    </row>
    <row r="22" spans="2:10" x14ac:dyDescent="0.3">
      <c r="B22" s="102">
        <v>13</v>
      </c>
      <c r="C22" s="20" t="s">
        <v>207</v>
      </c>
      <c r="D22" s="468"/>
      <c r="E22" s="469"/>
      <c r="F22" s="383"/>
      <c r="G22" s="383"/>
      <c r="H22" s="383"/>
      <c r="I22" s="383"/>
      <c r="J22" s="64"/>
    </row>
    <row r="23" spans="2:10" x14ac:dyDescent="0.3">
      <c r="B23" s="102">
        <v>14</v>
      </c>
      <c r="C23" s="20" t="s">
        <v>208</v>
      </c>
      <c r="D23" s="468"/>
      <c r="E23" s="469"/>
      <c r="F23" s="383"/>
      <c r="G23" s="383"/>
      <c r="H23" s="383"/>
      <c r="I23" s="383"/>
      <c r="J23" s="64"/>
    </row>
    <row r="24" spans="2:10" x14ac:dyDescent="0.3">
      <c r="B24" s="102">
        <v>15</v>
      </c>
      <c r="C24" s="20" t="s">
        <v>209</v>
      </c>
      <c r="D24" s="468"/>
      <c r="E24" s="469"/>
      <c r="F24" s="383"/>
      <c r="G24" s="383"/>
      <c r="H24" s="383"/>
      <c r="I24" s="383"/>
      <c r="J24" s="64"/>
    </row>
    <row r="25" spans="2:10" x14ac:dyDescent="0.3">
      <c r="B25" s="102">
        <v>16</v>
      </c>
      <c r="C25" s="20" t="s">
        <v>210</v>
      </c>
      <c r="D25" s="468"/>
      <c r="E25" s="469"/>
      <c r="F25" s="383"/>
      <c r="G25" s="383"/>
      <c r="H25" s="383"/>
      <c r="I25" s="383"/>
      <c r="J25" s="64"/>
    </row>
    <row r="26" spans="2:10" x14ac:dyDescent="0.3">
      <c r="B26" s="102">
        <v>17</v>
      </c>
      <c r="C26" s="20" t="s">
        <v>211</v>
      </c>
      <c r="D26" s="468"/>
      <c r="E26" s="469"/>
      <c r="F26" s="383"/>
      <c r="G26" s="383"/>
      <c r="H26" s="383"/>
      <c r="I26" s="383"/>
      <c r="J26" s="64"/>
    </row>
    <row r="27" spans="2:10" x14ac:dyDescent="0.3">
      <c r="B27" s="102">
        <v>18</v>
      </c>
      <c r="C27" s="20" t="s">
        <v>212</v>
      </c>
      <c r="D27" s="468"/>
      <c r="E27" s="469"/>
      <c r="F27" s="383"/>
      <c r="G27" s="383"/>
      <c r="H27" s="383"/>
      <c r="I27" s="383"/>
      <c r="J27" s="64"/>
    </row>
    <row r="28" spans="2:10" x14ac:dyDescent="0.3">
      <c r="B28" s="102">
        <f>+B27+0.1</f>
        <v>18.100000000000001</v>
      </c>
      <c r="C28" s="20" t="s">
        <v>213</v>
      </c>
      <c r="D28" s="468"/>
      <c r="E28" s="469"/>
      <c r="F28" s="383"/>
      <c r="G28" s="383"/>
      <c r="H28" s="383"/>
      <c r="I28" s="383"/>
      <c r="J28" s="64"/>
    </row>
    <row r="29" spans="2:10" x14ac:dyDescent="0.3">
      <c r="B29" s="102">
        <f>+B28+0.1</f>
        <v>18.200000000000003</v>
      </c>
      <c r="C29" s="20" t="s">
        <v>214</v>
      </c>
      <c r="D29" s="468"/>
      <c r="E29" s="469"/>
      <c r="F29" s="383"/>
      <c r="G29" s="383"/>
      <c r="H29" s="383"/>
      <c r="I29" s="383"/>
      <c r="J29" s="64"/>
    </row>
    <row r="30" spans="2:10" x14ac:dyDescent="0.3">
      <c r="B30" s="102">
        <f>+B29+0.1</f>
        <v>18.300000000000004</v>
      </c>
      <c r="C30" s="20" t="s">
        <v>215</v>
      </c>
      <c r="D30" s="468"/>
      <c r="E30" s="469"/>
      <c r="F30" s="383"/>
      <c r="G30" s="383"/>
      <c r="H30" s="383"/>
      <c r="I30" s="383"/>
      <c r="J30" s="64"/>
    </row>
    <row r="31" spans="2:10" x14ac:dyDescent="0.3">
      <c r="B31" s="102">
        <f>+B30+0.1</f>
        <v>18.400000000000006</v>
      </c>
      <c r="C31" s="20" t="s">
        <v>216</v>
      </c>
      <c r="D31" s="468"/>
      <c r="E31" s="469"/>
      <c r="F31" s="383"/>
      <c r="G31" s="383"/>
      <c r="H31" s="383"/>
      <c r="I31" s="383"/>
      <c r="J31" s="64"/>
    </row>
    <row r="32" spans="2:10" x14ac:dyDescent="0.3">
      <c r="B32" s="102">
        <v>19</v>
      </c>
      <c r="C32" s="20" t="s">
        <v>217</v>
      </c>
      <c r="D32" s="468"/>
      <c r="E32" s="469"/>
      <c r="F32" s="383"/>
      <c r="G32" s="383"/>
      <c r="H32" s="383"/>
      <c r="I32" s="383"/>
      <c r="J32" s="64"/>
    </row>
    <row r="33" spans="2:10" x14ac:dyDescent="0.3">
      <c r="B33" s="103">
        <v>20</v>
      </c>
      <c r="C33" s="49" t="s">
        <v>218</v>
      </c>
      <c r="D33" s="468"/>
      <c r="E33" s="469"/>
      <c r="F33" s="383"/>
      <c r="G33" s="383"/>
      <c r="H33" s="383"/>
      <c r="I33" s="383"/>
      <c r="J33" s="64"/>
    </row>
    <row r="34" spans="2:10" x14ac:dyDescent="0.3">
      <c r="B34" s="102">
        <v>21</v>
      </c>
      <c r="C34" s="20" t="s">
        <v>47</v>
      </c>
      <c r="D34" s="468"/>
      <c r="E34" s="469"/>
      <c r="F34" s="383"/>
      <c r="G34" s="383"/>
      <c r="H34" s="383"/>
      <c r="I34" s="383"/>
      <c r="J34" s="64"/>
    </row>
    <row r="35" spans="2:10" x14ac:dyDescent="0.25">
      <c r="B35" s="103">
        <v>21</v>
      </c>
      <c r="C35" s="35" t="s">
        <v>219</v>
      </c>
      <c r="D35" s="470"/>
      <c r="E35" s="472"/>
      <c r="F35" s="383"/>
      <c r="G35" s="383"/>
      <c r="H35" s="383"/>
      <c r="I35" s="383"/>
      <c r="J35" s="64"/>
    </row>
    <row r="37" spans="2:10" x14ac:dyDescent="0.25">
      <c r="B37" s="65"/>
    </row>
    <row r="38" spans="2:10" x14ac:dyDescent="0.3">
      <c r="B38" s="54"/>
    </row>
    <row r="40" spans="2:10" x14ac:dyDescent="0.25">
      <c r="B40" s="30" t="s">
        <v>220</v>
      </c>
    </row>
    <row r="42" spans="2:10" ht="15" customHeight="1" x14ac:dyDescent="0.25">
      <c r="B42" s="451" t="s">
        <v>351</v>
      </c>
      <c r="C42" s="451" t="s">
        <v>49</v>
      </c>
      <c r="D42" s="299" t="s">
        <v>506</v>
      </c>
      <c r="E42" s="299" t="s">
        <v>507</v>
      </c>
      <c r="F42" s="401"/>
      <c r="G42" s="401"/>
      <c r="H42" s="401"/>
      <c r="I42" s="401"/>
    </row>
    <row r="43" spans="2:10" ht="28" x14ac:dyDescent="0.25">
      <c r="B43" s="451"/>
      <c r="C43" s="451"/>
      <c r="D43" s="299" t="s">
        <v>569</v>
      </c>
      <c r="E43" s="299" t="s">
        <v>569</v>
      </c>
      <c r="F43" s="401"/>
      <c r="G43" s="401"/>
      <c r="H43" s="401"/>
      <c r="I43" s="401"/>
    </row>
    <row r="44" spans="2:10" x14ac:dyDescent="0.25">
      <c r="B44" s="32"/>
      <c r="C44" s="32"/>
      <c r="D44" s="32"/>
      <c r="E44" s="32"/>
      <c r="F44" s="231"/>
      <c r="G44" s="231"/>
      <c r="H44" s="231"/>
      <c r="I44" s="231"/>
    </row>
    <row r="45" spans="2:10" x14ac:dyDescent="0.25">
      <c r="B45" s="103" t="s">
        <v>181</v>
      </c>
      <c r="C45" s="35" t="s">
        <v>221</v>
      </c>
      <c r="D45" s="492" t="s">
        <v>652</v>
      </c>
      <c r="E45" s="493"/>
      <c r="F45" s="399"/>
      <c r="G45" s="399"/>
      <c r="H45" s="399"/>
      <c r="I45" s="399"/>
    </row>
    <row r="46" spans="2:10" x14ac:dyDescent="0.25">
      <c r="B46" s="94">
        <v>1</v>
      </c>
      <c r="C46" s="206" t="s">
        <v>222</v>
      </c>
      <c r="D46" s="494"/>
      <c r="E46" s="495"/>
      <c r="F46" s="399"/>
      <c r="G46" s="399"/>
      <c r="H46" s="399"/>
      <c r="I46" s="399"/>
    </row>
    <row r="47" spans="2:10" x14ac:dyDescent="0.25">
      <c r="B47" s="94">
        <v>2</v>
      </c>
      <c r="C47" s="206" t="s">
        <v>223</v>
      </c>
      <c r="D47" s="494"/>
      <c r="E47" s="495"/>
      <c r="F47" s="399"/>
      <c r="G47" s="399"/>
      <c r="H47" s="399"/>
      <c r="I47" s="399"/>
    </row>
    <row r="48" spans="2:10" x14ac:dyDescent="0.25">
      <c r="B48" s="94">
        <v>3</v>
      </c>
      <c r="C48" s="206" t="s">
        <v>224</v>
      </c>
      <c r="D48" s="494"/>
      <c r="E48" s="495"/>
      <c r="F48" s="399"/>
      <c r="G48" s="399"/>
      <c r="H48" s="399"/>
      <c r="I48" s="399"/>
    </row>
    <row r="49" spans="2:9" x14ac:dyDescent="0.25">
      <c r="B49" s="94">
        <v>4</v>
      </c>
      <c r="C49" s="206" t="s">
        <v>225</v>
      </c>
      <c r="D49" s="494"/>
      <c r="E49" s="495"/>
      <c r="F49" s="399"/>
      <c r="G49" s="399"/>
      <c r="H49" s="399"/>
      <c r="I49" s="399"/>
    </row>
    <row r="50" spans="2:9" x14ac:dyDescent="0.25">
      <c r="B50" s="94"/>
      <c r="C50" s="206"/>
      <c r="D50" s="494"/>
      <c r="E50" s="495"/>
      <c r="F50" s="399"/>
      <c r="G50" s="399"/>
      <c r="H50" s="399"/>
      <c r="I50" s="399"/>
    </row>
    <row r="51" spans="2:9" x14ac:dyDescent="0.25">
      <c r="B51" s="207" t="s">
        <v>191</v>
      </c>
      <c r="C51" s="154" t="s">
        <v>226</v>
      </c>
      <c r="D51" s="494"/>
      <c r="E51" s="495"/>
      <c r="F51" s="399"/>
      <c r="G51" s="399"/>
      <c r="H51" s="399"/>
      <c r="I51" s="399"/>
    </row>
    <row r="52" spans="2:9" x14ac:dyDescent="0.25">
      <c r="B52" s="94">
        <v>5</v>
      </c>
      <c r="C52" s="154" t="s">
        <v>222</v>
      </c>
      <c r="D52" s="494"/>
      <c r="E52" s="495"/>
      <c r="F52" s="399"/>
      <c r="G52" s="399"/>
      <c r="H52" s="399"/>
      <c r="I52" s="399"/>
    </row>
    <row r="53" spans="2:9" x14ac:dyDescent="0.25">
      <c r="B53" s="94">
        <f>+B52+0.1</f>
        <v>5.0999999999999996</v>
      </c>
      <c r="C53" s="206" t="s">
        <v>227</v>
      </c>
      <c r="D53" s="494"/>
      <c r="E53" s="495"/>
      <c r="F53" s="399"/>
      <c r="G53" s="399"/>
      <c r="H53" s="399"/>
      <c r="I53" s="399"/>
    </row>
    <row r="54" spans="2:9" x14ac:dyDescent="0.25">
      <c r="B54" s="94">
        <f>+B53+0.1</f>
        <v>5.1999999999999993</v>
      </c>
      <c r="C54" s="206" t="s">
        <v>228</v>
      </c>
      <c r="D54" s="494"/>
      <c r="E54" s="495"/>
      <c r="F54" s="399"/>
      <c r="G54" s="399"/>
      <c r="H54" s="399"/>
      <c r="I54" s="399"/>
    </row>
    <row r="55" spans="2:9" x14ac:dyDescent="0.25">
      <c r="B55" s="94">
        <f>+B54+0.1</f>
        <v>5.2999999999999989</v>
      </c>
      <c r="C55" s="206" t="s">
        <v>229</v>
      </c>
      <c r="D55" s="494"/>
      <c r="E55" s="495"/>
      <c r="F55" s="399"/>
      <c r="G55" s="399"/>
      <c r="H55" s="399"/>
      <c r="I55" s="399"/>
    </row>
    <row r="56" spans="2:9" x14ac:dyDescent="0.25">
      <c r="B56" s="94">
        <f>+B55+0.1</f>
        <v>5.3999999999999986</v>
      </c>
      <c r="C56" s="206" t="s">
        <v>230</v>
      </c>
      <c r="D56" s="494"/>
      <c r="E56" s="495"/>
      <c r="F56" s="399"/>
      <c r="G56" s="399"/>
      <c r="H56" s="399"/>
      <c r="I56" s="399"/>
    </row>
    <row r="57" spans="2:9" x14ac:dyDescent="0.25">
      <c r="B57" s="94"/>
      <c r="C57" s="206"/>
      <c r="D57" s="494"/>
      <c r="E57" s="495"/>
      <c r="F57" s="399"/>
      <c r="G57" s="399"/>
      <c r="H57" s="399"/>
      <c r="I57" s="399"/>
    </row>
    <row r="58" spans="2:9" x14ac:dyDescent="0.25">
      <c r="B58" s="94">
        <v>6</v>
      </c>
      <c r="C58" s="154" t="s">
        <v>223</v>
      </c>
      <c r="D58" s="494"/>
      <c r="E58" s="495"/>
      <c r="F58" s="399"/>
      <c r="G58" s="399"/>
      <c r="H58" s="399"/>
      <c r="I58" s="399"/>
    </row>
    <row r="59" spans="2:9" x14ac:dyDescent="0.25">
      <c r="B59" s="94">
        <f>+B58+0.1</f>
        <v>6.1</v>
      </c>
      <c r="C59" s="206" t="s">
        <v>227</v>
      </c>
      <c r="D59" s="494"/>
      <c r="E59" s="495"/>
      <c r="F59" s="399"/>
      <c r="G59" s="399"/>
      <c r="H59" s="399"/>
      <c r="I59" s="399"/>
    </row>
    <row r="60" spans="2:9" x14ac:dyDescent="0.25">
      <c r="B60" s="94">
        <f>+B59+0.1</f>
        <v>6.1999999999999993</v>
      </c>
      <c r="C60" s="206" t="s">
        <v>228</v>
      </c>
      <c r="D60" s="494"/>
      <c r="E60" s="495"/>
      <c r="F60" s="399"/>
      <c r="G60" s="399"/>
      <c r="H60" s="399"/>
      <c r="I60" s="399"/>
    </row>
    <row r="61" spans="2:9" x14ac:dyDescent="0.25">
      <c r="B61" s="94">
        <f>+B60+0.1</f>
        <v>6.2999999999999989</v>
      </c>
      <c r="C61" s="206" t="s">
        <v>229</v>
      </c>
      <c r="D61" s="494"/>
      <c r="E61" s="495"/>
      <c r="F61" s="399"/>
      <c r="G61" s="399"/>
      <c r="H61" s="399"/>
      <c r="I61" s="399"/>
    </row>
    <row r="62" spans="2:9" x14ac:dyDescent="0.25">
      <c r="B62" s="94">
        <f>+B61+0.1</f>
        <v>6.3999999999999986</v>
      </c>
      <c r="C62" s="206" t="s">
        <v>230</v>
      </c>
      <c r="D62" s="494"/>
      <c r="E62" s="495"/>
      <c r="F62" s="399"/>
      <c r="G62" s="399"/>
      <c r="H62" s="399"/>
      <c r="I62" s="399"/>
    </row>
    <row r="63" spans="2:9" x14ac:dyDescent="0.25">
      <c r="B63" s="94"/>
      <c r="C63" s="206"/>
      <c r="D63" s="494"/>
      <c r="E63" s="495"/>
      <c r="F63" s="399"/>
      <c r="G63" s="399"/>
      <c r="H63" s="399"/>
      <c r="I63" s="399"/>
    </row>
    <row r="64" spans="2:9" x14ac:dyDescent="0.25">
      <c r="B64" s="94">
        <v>7</v>
      </c>
      <c r="C64" s="154" t="s">
        <v>224</v>
      </c>
      <c r="D64" s="494"/>
      <c r="E64" s="495"/>
      <c r="F64" s="399"/>
      <c r="G64" s="399"/>
      <c r="H64" s="399"/>
      <c r="I64" s="399"/>
    </row>
    <row r="65" spans="2:9" x14ac:dyDescent="0.25">
      <c r="B65" s="94">
        <f>+B64+0.1</f>
        <v>7.1</v>
      </c>
      <c r="C65" s="206" t="s">
        <v>227</v>
      </c>
      <c r="D65" s="494"/>
      <c r="E65" s="495"/>
      <c r="F65" s="399"/>
      <c r="G65" s="399"/>
      <c r="H65" s="399"/>
      <c r="I65" s="399"/>
    </row>
    <row r="66" spans="2:9" x14ac:dyDescent="0.25">
      <c r="B66" s="94">
        <f>+B65+0.1</f>
        <v>7.1999999999999993</v>
      </c>
      <c r="C66" s="206" t="s">
        <v>228</v>
      </c>
      <c r="D66" s="494"/>
      <c r="E66" s="495"/>
      <c r="F66" s="399"/>
      <c r="G66" s="399"/>
      <c r="H66" s="399"/>
      <c r="I66" s="399"/>
    </row>
    <row r="67" spans="2:9" x14ac:dyDescent="0.25">
      <c r="B67" s="94">
        <f>+B66+0.1</f>
        <v>7.2999999999999989</v>
      </c>
      <c r="C67" s="206" t="s">
        <v>229</v>
      </c>
      <c r="D67" s="494"/>
      <c r="E67" s="495"/>
      <c r="F67" s="399"/>
      <c r="G67" s="399"/>
      <c r="H67" s="399"/>
      <c r="I67" s="399"/>
    </row>
    <row r="68" spans="2:9" x14ac:dyDescent="0.25">
      <c r="B68" s="94">
        <f>+B67+0.1</f>
        <v>7.3999999999999986</v>
      </c>
      <c r="C68" s="206" t="s">
        <v>230</v>
      </c>
      <c r="D68" s="494"/>
      <c r="E68" s="495"/>
      <c r="F68" s="399"/>
      <c r="G68" s="399"/>
      <c r="H68" s="399"/>
      <c r="I68" s="399"/>
    </row>
    <row r="69" spans="2:9" x14ac:dyDescent="0.25">
      <c r="B69" s="94"/>
      <c r="C69" s="206"/>
      <c r="D69" s="494"/>
      <c r="E69" s="495"/>
      <c r="F69" s="399"/>
      <c r="G69" s="399"/>
      <c r="H69" s="399"/>
      <c r="I69" s="399"/>
    </row>
    <row r="70" spans="2:9" x14ac:dyDescent="0.25">
      <c r="B70" s="94">
        <v>8</v>
      </c>
      <c r="C70" s="154" t="s">
        <v>231</v>
      </c>
      <c r="D70" s="494"/>
      <c r="E70" s="495"/>
      <c r="F70" s="399"/>
      <c r="G70" s="399"/>
      <c r="H70" s="399"/>
      <c r="I70" s="399"/>
    </row>
    <row r="71" spans="2:9" x14ac:dyDescent="0.25">
      <c r="B71" s="94">
        <f>+B70+0.1</f>
        <v>8.1</v>
      </c>
      <c r="C71" s="206" t="s">
        <v>227</v>
      </c>
      <c r="D71" s="494"/>
      <c r="E71" s="495"/>
      <c r="F71" s="399"/>
      <c r="G71" s="399"/>
      <c r="H71" s="399"/>
      <c r="I71" s="399"/>
    </row>
    <row r="72" spans="2:9" x14ac:dyDescent="0.25">
      <c r="B72" s="94">
        <f>+B71+0.1</f>
        <v>8.1999999999999993</v>
      </c>
      <c r="C72" s="206" t="s">
        <v>228</v>
      </c>
      <c r="D72" s="494"/>
      <c r="E72" s="495"/>
      <c r="F72" s="399"/>
      <c r="G72" s="399"/>
      <c r="H72" s="399"/>
      <c r="I72" s="399"/>
    </row>
    <row r="73" spans="2:9" x14ac:dyDescent="0.25">
      <c r="B73" s="94">
        <f>+B72+0.1</f>
        <v>8.2999999999999989</v>
      </c>
      <c r="C73" s="206" t="s">
        <v>229</v>
      </c>
      <c r="D73" s="494"/>
      <c r="E73" s="495"/>
      <c r="F73" s="399"/>
      <c r="G73" s="399"/>
      <c r="H73" s="399"/>
      <c r="I73" s="399"/>
    </row>
    <row r="74" spans="2:9" x14ac:dyDescent="0.25">
      <c r="B74" s="94">
        <f>+B73+0.1</f>
        <v>8.3999999999999986</v>
      </c>
      <c r="C74" s="206" t="s">
        <v>230</v>
      </c>
      <c r="D74" s="494"/>
      <c r="E74" s="495"/>
      <c r="F74" s="399"/>
      <c r="G74" s="399"/>
      <c r="H74" s="399"/>
      <c r="I74" s="399"/>
    </row>
    <row r="75" spans="2:9" x14ac:dyDescent="0.3">
      <c r="B75" s="208"/>
      <c r="C75" s="23" t="s">
        <v>232</v>
      </c>
      <c r="D75" s="496"/>
      <c r="E75" s="497"/>
      <c r="F75" s="399"/>
      <c r="G75" s="399"/>
      <c r="H75" s="399"/>
      <c r="I75" s="399"/>
    </row>
  </sheetData>
  <mergeCells count="11">
    <mergeCell ref="B2:E2"/>
    <mergeCell ref="B3:E3"/>
    <mergeCell ref="B4:E4"/>
    <mergeCell ref="B8:B9"/>
    <mergeCell ref="C8:C9"/>
    <mergeCell ref="B5:E5"/>
    <mergeCell ref="J8:J9"/>
    <mergeCell ref="B42:B43"/>
    <mergeCell ref="C42:C43"/>
    <mergeCell ref="D10:E35"/>
    <mergeCell ref="D45:E75"/>
  </mergeCells>
  <pageMargins left="0.75" right="0.75" top="1" bottom="1" header="0.5" footer="0.5"/>
  <pageSetup paperSize="9" scale="65" fitToHeight="0" orientation="landscape" r:id="rId1"/>
  <headerFooter alignWithMargins="0"/>
  <rowBreaks count="1" manualBreakCount="1">
    <brk id="36" min="1"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K39"/>
  <sheetViews>
    <sheetView showGridLines="0" view="pageBreakPreview" zoomScale="90" zoomScaleNormal="80" zoomScaleSheetLayoutView="90" workbookViewId="0">
      <selection activeCell="F7" sqref="F7:I8"/>
    </sheetView>
  </sheetViews>
  <sheetFormatPr defaultColWidth="9.1796875" defaultRowHeight="14" x14ac:dyDescent="0.25"/>
  <cols>
    <col min="1" max="1" width="6.81640625" style="24" customWidth="1"/>
    <col min="2" max="2" width="7" style="101" customWidth="1"/>
    <col min="3" max="3" width="44.1796875" style="24" customWidth="1"/>
    <col min="4" max="10" width="15.7265625" style="24" customWidth="1"/>
    <col min="11" max="11" width="14.7265625" style="24" customWidth="1"/>
    <col min="12" max="16384" width="9.1796875" style="24"/>
  </cols>
  <sheetData>
    <row r="2" spans="2:11" x14ac:dyDescent="0.25">
      <c r="B2" s="447" t="s">
        <v>628</v>
      </c>
      <c r="C2" s="439"/>
      <c r="D2" s="439"/>
      <c r="E2" s="439"/>
      <c r="F2" s="439"/>
      <c r="G2" s="439"/>
      <c r="H2" s="439"/>
      <c r="I2" s="439"/>
      <c r="J2" s="439"/>
      <c r="K2" s="439"/>
    </row>
    <row r="3" spans="2:11" s="9" customFormat="1" x14ac:dyDescent="0.3">
      <c r="B3" s="448" t="s">
        <v>602</v>
      </c>
      <c r="C3" s="439"/>
      <c r="D3" s="439"/>
      <c r="E3" s="439"/>
      <c r="F3" s="439"/>
      <c r="G3" s="439"/>
      <c r="H3" s="439"/>
      <c r="I3" s="439"/>
      <c r="J3" s="439"/>
      <c r="K3" s="439"/>
    </row>
    <row r="4" spans="2:11" s="9" customFormat="1" x14ac:dyDescent="0.3">
      <c r="B4" s="448" t="s">
        <v>233</v>
      </c>
      <c r="C4" s="439"/>
      <c r="D4" s="439"/>
      <c r="E4" s="439"/>
      <c r="F4" s="439"/>
      <c r="G4" s="439"/>
      <c r="H4" s="439"/>
      <c r="I4" s="439"/>
      <c r="J4" s="439"/>
      <c r="K4" s="439"/>
    </row>
    <row r="5" spans="2:11" x14ac:dyDescent="0.25">
      <c r="B5" s="448" t="s">
        <v>629</v>
      </c>
      <c r="C5" s="439"/>
      <c r="D5" s="439"/>
      <c r="E5" s="439"/>
      <c r="F5" s="439"/>
      <c r="G5" s="439"/>
      <c r="H5" s="439"/>
      <c r="I5" s="439"/>
      <c r="J5" s="439"/>
      <c r="K5" s="439"/>
    </row>
    <row r="6" spans="2:11" x14ac:dyDescent="0.25">
      <c r="E6" s="29" t="s">
        <v>16</v>
      </c>
      <c r="F6" s="29"/>
      <c r="G6" s="29"/>
      <c r="H6" s="29"/>
      <c r="I6" s="29"/>
    </row>
    <row r="7" spans="2:11" ht="12.75" customHeight="1" x14ac:dyDescent="0.25">
      <c r="B7" s="452" t="s">
        <v>351</v>
      </c>
      <c r="C7" s="451" t="s">
        <v>49</v>
      </c>
      <c r="D7" s="298" t="str">
        <f>'F1'!$E$7</f>
        <v>FY 2024-25</v>
      </c>
      <c r="E7" s="298" t="str">
        <f>'F1'!$F$7</f>
        <v>FY 2025-26</v>
      </c>
      <c r="F7" s="298" t="str">
        <f>'F1'!$G$7</f>
        <v>FY 2026-27</v>
      </c>
      <c r="G7" s="298" t="str">
        <f>'F1'!$H$7</f>
        <v>FY 2027-28</v>
      </c>
      <c r="H7" s="298" t="str">
        <f>'F1'!$I$7</f>
        <v>FY 2028-29</v>
      </c>
      <c r="I7" s="298" t="str">
        <f>'F1'!$J$7</f>
        <v>FY 2029-30</v>
      </c>
      <c r="J7" s="57"/>
      <c r="K7" s="491"/>
    </row>
    <row r="8" spans="2:11" ht="28" x14ac:dyDescent="0.25">
      <c r="B8" s="452"/>
      <c r="C8" s="451"/>
      <c r="D8" s="299" t="s">
        <v>569</v>
      </c>
      <c r="E8" s="299" t="s">
        <v>569</v>
      </c>
      <c r="F8" s="400" t="str">
        <f>'F1'!$G$8</f>
        <v>Projection</v>
      </c>
      <c r="G8" s="400" t="str">
        <f>'F1'!$H$8</f>
        <v>Projection</v>
      </c>
      <c r="H8" s="400" t="str">
        <f>'F1'!$I$8</f>
        <v>Projection</v>
      </c>
      <c r="I8" s="400" t="str">
        <f>'F1'!$J$8</f>
        <v>Projection</v>
      </c>
      <c r="J8" s="22"/>
      <c r="K8" s="491"/>
    </row>
    <row r="9" spans="2:11" x14ac:dyDescent="0.25">
      <c r="B9" s="102">
        <v>1</v>
      </c>
      <c r="C9" s="36" t="s">
        <v>234</v>
      </c>
      <c r="D9" s="492" t="s">
        <v>652</v>
      </c>
      <c r="E9" s="493"/>
      <c r="F9" s="399"/>
      <c r="G9" s="399"/>
      <c r="H9" s="399"/>
      <c r="I9" s="399"/>
      <c r="J9" s="64"/>
      <c r="K9" s="64"/>
    </row>
    <row r="10" spans="2:11" x14ac:dyDescent="0.3">
      <c r="B10" s="102">
        <v>2</v>
      </c>
      <c r="C10" s="34" t="s">
        <v>235</v>
      </c>
      <c r="D10" s="494"/>
      <c r="E10" s="495"/>
      <c r="F10" s="399"/>
      <c r="G10" s="399"/>
      <c r="H10" s="399"/>
      <c r="I10" s="399"/>
      <c r="J10" s="64"/>
      <c r="K10" s="64"/>
    </row>
    <row r="11" spans="2:11" x14ac:dyDescent="0.3">
      <c r="B11" s="102">
        <v>3</v>
      </c>
      <c r="C11" s="34" t="s">
        <v>236</v>
      </c>
      <c r="D11" s="494"/>
      <c r="E11" s="495"/>
      <c r="F11" s="399"/>
      <c r="G11" s="399"/>
      <c r="H11" s="399"/>
      <c r="I11" s="399"/>
      <c r="J11" s="64"/>
      <c r="K11" s="64"/>
    </row>
    <row r="12" spans="2:11" x14ac:dyDescent="0.3">
      <c r="B12" s="102">
        <v>4</v>
      </c>
      <c r="C12" s="34" t="s">
        <v>237</v>
      </c>
      <c r="D12" s="494"/>
      <c r="E12" s="495"/>
      <c r="F12" s="399"/>
      <c r="G12" s="399"/>
      <c r="H12" s="399"/>
      <c r="I12" s="399"/>
      <c r="J12" s="64"/>
      <c r="K12" s="64"/>
    </row>
    <row r="13" spans="2:11" x14ac:dyDescent="0.3">
      <c r="B13" s="102">
        <v>5</v>
      </c>
      <c r="C13" s="34" t="s">
        <v>238</v>
      </c>
      <c r="D13" s="494"/>
      <c r="E13" s="495"/>
      <c r="F13" s="399"/>
      <c r="G13" s="399"/>
      <c r="H13" s="399"/>
      <c r="I13" s="399"/>
      <c r="J13" s="64"/>
      <c r="K13" s="64"/>
    </row>
    <row r="14" spans="2:11" x14ac:dyDescent="0.3">
      <c r="B14" s="102">
        <v>6</v>
      </c>
      <c r="C14" s="34" t="s">
        <v>239</v>
      </c>
      <c r="D14" s="494"/>
      <c r="E14" s="495"/>
      <c r="F14" s="399"/>
      <c r="G14" s="399"/>
      <c r="H14" s="399"/>
      <c r="I14" s="399"/>
      <c r="J14" s="64"/>
      <c r="K14" s="64"/>
    </row>
    <row r="15" spans="2:11" x14ac:dyDescent="0.3">
      <c r="B15" s="102">
        <v>7</v>
      </c>
      <c r="C15" s="34" t="s">
        <v>240</v>
      </c>
      <c r="D15" s="494"/>
      <c r="E15" s="495"/>
      <c r="F15" s="399"/>
      <c r="G15" s="399"/>
      <c r="H15" s="399"/>
      <c r="I15" s="399"/>
      <c r="J15" s="64"/>
      <c r="K15" s="64"/>
    </row>
    <row r="16" spans="2:11" x14ac:dyDescent="0.3">
      <c r="B16" s="102">
        <v>8</v>
      </c>
      <c r="C16" s="209" t="s">
        <v>241</v>
      </c>
      <c r="D16" s="494"/>
      <c r="E16" s="495"/>
      <c r="F16" s="399"/>
      <c r="G16" s="399"/>
      <c r="H16" s="399"/>
      <c r="I16" s="399"/>
      <c r="J16" s="64"/>
      <c r="K16" s="64"/>
    </row>
    <row r="17" spans="2:11" x14ac:dyDescent="0.3">
      <c r="B17" s="102">
        <v>9</v>
      </c>
      <c r="C17" s="34" t="s">
        <v>242</v>
      </c>
      <c r="D17" s="494"/>
      <c r="E17" s="495"/>
      <c r="F17" s="399"/>
      <c r="G17" s="399"/>
      <c r="H17" s="399"/>
      <c r="I17" s="399"/>
      <c r="J17" s="64"/>
      <c r="K17" s="64"/>
    </row>
    <row r="18" spans="2:11" x14ac:dyDescent="0.3">
      <c r="B18" s="102">
        <v>10</v>
      </c>
      <c r="C18" s="34" t="s">
        <v>243</v>
      </c>
      <c r="D18" s="494"/>
      <c r="E18" s="495"/>
      <c r="F18" s="399"/>
      <c r="G18" s="399"/>
      <c r="H18" s="399"/>
      <c r="I18" s="399"/>
      <c r="J18" s="64"/>
      <c r="K18" s="64"/>
    </row>
    <row r="19" spans="2:11" x14ac:dyDescent="0.3">
      <c r="B19" s="102">
        <v>11</v>
      </c>
      <c r="C19" s="34" t="s">
        <v>244</v>
      </c>
      <c r="D19" s="494"/>
      <c r="E19" s="495"/>
      <c r="F19" s="399"/>
      <c r="G19" s="399"/>
      <c r="H19" s="399"/>
      <c r="I19" s="399"/>
      <c r="J19" s="64"/>
      <c r="K19" s="64"/>
    </row>
    <row r="20" spans="2:11" x14ac:dyDescent="0.3">
      <c r="B20" s="102">
        <v>12</v>
      </c>
      <c r="C20" s="34" t="s">
        <v>245</v>
      </c>
      <c r="D20" s="494"/>
      <c r="E20" s="495"/>
      <c r="F20" s="399"/>
      <c r="G20" s="399"/>
      <c r="H20" s="399"/>
      <c r="I20" s="399"/>
      <c r="J20" s="64"/>
      <c r="K20" s="64"/>
    </row>
    <row r="21" spans="2:11" x14ac:dyDescent="0.3">
      <c r="B21" s="102">
        <v>13</v>
      </c>
      <c r="C21" s="34" t="s">
        <v>246</v>
      </c>
      <c r="D21" s="494"/>
      <c r="E21" s="495"/>
      <c r="F21" s="399"/>
      <c r="G21" s="399"/>
      <c r="H21" s="399"/>
      <c r="I21" s="399"/>
      <c r="J21" s="64"/>
      <c r="K21" s="64"/>
    </row>
    <row r="22" spans="2:11" x14ac:dyDescent="0.3">
      <c r="B22" s="102">
        <v>14</v>
      </c>
      <c r="C22" s="34" t="s">
        <v>247</v>
      </c>
      <c r="D22" s="494"/>
      <c r="E22" s="495"/>
      <c r="F22" s="399"/>
      <c r="G22" s="399"/>
      <c r="H22" s="399"/>
      <c r="I22" s="399"/>
      <c r="J22" s="64"/>
      <c r="K22" s="64"/>
    </row>
    <row r="23" spans="2:11" x14ac:dyDescent="0.3">
      <c r="B23" s="102">
        <v>15</v>
      </c>
      <c r="C23" s="34" t="s">
        <v>248</v>
      </c>
      <c r="D23" s="494"/>
      <c r="E23" s="495"/>
      <c r="F23" s="399"/>
      <c r="G23" s="399"/>
      <c r="H23" s="399"/>
      <c r="I23" s="399"/>
      <c r="J23" s="64"/>
      <c r="K23" s="64"/>
    </row>
    <row r="24" spans="2:11" x14ac:dyDescent="0.25">
      <c r="B24" s="102">
        <v>16</v>
      </c>
      <c r="C24" s="36" t="s">
        <v>249</v>
      </c>
      <c r="D24" s="494"/>
      <c r="E24" s="495"/>
      <c r="F24" s="399"/>
      <c r="G24" s="399"/>
      <c r="H24" s="399"/>
      <c r="I24" s="399"/>
      <c r="J24" s="64"/>
      <c r="K24" s="64"/>
    </row>
    <row r="25" spans="2:11" x14ac:dyDescent="0.25">
      <c r="B25" s="102">
        <v>17</v>
      </c>
      <c r="C25" s="36" t="s">
        <v>250</v>
      </c>
      <c r="D25" s="494"/>
      <c r="E25" s="495"/>
      <c r="F25" s="399"/>
      <c r="G25" s="399"/>
      <c r="H25" s="399"/>
      <c r="I25" s="399"/>
      <c r="J25" s="64"/>
      <c r="K25" s="64"/>
    </row>
    <row r="26" spans="2:11" x14ac:dyDescent="0.3">
      <c r="B26" s="102">
        <v>18</v>
      </c>
      <c r="C26" s="34" t="s">
        <v>251</v>
      </c>
      <c r="D26" s="494"/>
      <c r="E26" s="495"/>
      <c r="F26" s="399"/>
      <c r="G26" s="399"/>
      <c r="H26" s="399"/>
      <c r="I26" s="399"/>
      <c r="J26" s="64"/>
      <c r="K26" s="64"/>
    </row>
    <row r="27" spans="2:11" x14ac:dyDescent="0.3">
      <c r="B27" s="102">
        <v>19</v>
      </c>
      <c r="C27" s="34" t="s">
        <v>252</v>
      </c>
      <c r="D27" s="494"/>
      <c r="E27" s="495"/>
      <c r="F27" s="399"/>
      <c r="G27" s="399"/>
      <c r="H27" s="399"/>
      <c r="I27" s="399"/>
      <c r="J27" s="64"/>
      <c r="K27" s="64"/>
    </row>
    <row r="28" spans="2:11" x14ac:dyDescent="0.3">
      <c r="B28" s="102">
        <v>20</v>
      </c>
      <c r="C28" s="34" t="s">
        <v>253</v>
      </c>
      <c r="D28" s="494"/>
      <c r="E28" s="495"/>
      <c r="F28" s="399"/>
      <c r="G28" s="399"/>
      <c r="H28" s="399"/>
      <c r="I28" s="399"/>
      <c r="J28" s="64"/>
      <c r="K28" s="64"/>
    </row>
    <row r="29" spans="2:11" x14ac:dyDescent="0.3">
      <c r="B29" s="102">
        <v>21</v>
      </c>
      <c r="C29" s="34" t="s">
        <v>254</v>
      </c>
      <c r="D29" s="494"/>
      <c r="E29" s="495"/>
      <c r="F29" s="399"/>
      <c r="G29" s="399"/>
      <c r="H29" s="399"/>
      <c r="I29" s="399"/>
      <c r="J29" s="64"/>
      <c r="K29" s="64"/>
    </row>
    <row r="30" spans="2:11" x14ac:dyDescent="0.3">
      <c r="B30" s="102">
        <v>22</v>
      </c>
      <c r="C30" s="34" t="s">
        <v>255</v>
      </c>
      <c r="D30" s="494"/>
      <c r="E30" s="495"/>
      <c r="F30" s="399"/>
      <c r="G30" s="399"/>
      <c r="H30" s="399"/>
      <c r="I30" s="399"/>
      <c r="J30" s="64"/>
      <c r="K30" s="64"/>
    </row>
    <row r="31" spans="2:11" x14ac:dyDescent="0.3">
      <c r="B31" s="102">
        <v>23</v>
      </c>
      <c r="C31" s="34" t="s">
        <v>256</v>
      </c>
      <c r="D31" s="494"/>
      <c r="E31" s="495"/>
      <c r="F31" s="399"/>
      <c r="G31" s="399"/>
      <c r="H31" s="399"/>
      <c r="I31" s="399"/>
      <c r="J31" s="64"/>
      <c r="K31" s="64"/>
    </row>
    <row r="32" spans="2:11" x14ac:dyDescent="0.3">
      <c r="B32" s="102">
        <v>24</v>
      </c>
      <c r="C32" s="34" t="s">
        <v>257</v>
      </c>
      <c r="D32" s="494"/>
      <c r="E32" s="495"/>
      <c r="F32" s="399"/>
      <c r="G32" s="399"/>
      <c r="H32" s="399"/>
      <c r="I32" s="399"/>
      <c r="J32" s="64"/>
      <c r="K32" s="64"/>
    </row>
    <row r="33" spans="2:11" x14ac:dyDescent="0.3">
      <c r="B33" s="102">
        <v>25</v>
      </c>
      <c r="C33" s="34" t="s">
        <v>258</v>
      </c>
      <c r="D33" s="494"/>
      <c r="E33" s="495"/>
      <c r="F33" s="399"/>
      <c r="G33" s="399"/>
      <c r="H33" s="399"/>
      <c r="I33" s="399"/>
      <c r="J33" s="64"/>
      <c r="K33" s="64"/>
    </row>
    <row r="34" spans="2:11" x14ac:dyDescent="0.3">
      <c r="B34" s="102">
        <v>26</v>
      </c>
      <c r="C34" s="34" t="s">
        <v>259</v>
      </c>
      <c r="D34" s="494"/>
      <c r="E34" s="495"/>
      <c r="F34" s="399"/>
      <c r="G34" s="399"/>
      <c r="H34" s="399"/>
      <c r="I34" s="399"/>
      <c r="J34" s="64"/>
      <c r="K34" s="64"/>
    </row>
    <row r="35" spans="2:11" x14ac:dyDescent="0.3">
      <c r="B35" s="102">
        <v>27</v>
      </c>
      <c r="C35" s="34" t="s">
        <v>260</v>
      </c>
      <c r="D35" s="494"/>
      <c r="E35" s="495"/>
      <c r="F35" s="399"/>
      <c r="G35" s="399"/>
      <c r="H35" s="399"/>
      <c r="I35" s="399"/>
      <c r="J35" s="64"/>
      <c r="K35" s="64"/>
    </row>
    <row r="36" spans="2:11" x14ac:dyDescent="0.3">
      <c r="B36" s="102">
        <v>28</v>
      </c>
      <c r="C36" s="34" t="s">
        <v>217</v>
      </c>
      <c r="D36" s="494"/>
      <c r="E36" s="495"/>
      <c r="F36" s="399"/>
      <c r="G36" s="399"/>
      <c r="H36" s="399"/>
      <c r="I36" s="399"/>
      <c r="J36" s="64"/>
      <c r="K36" s="64"/>
    </row>
    <row r="37" spans="2:11" x14ac:dyDescent="0.3">
      <c r="B37" s="102">
        <v>29</v>
      </c>
      <c r="C37" s="33" t="s">
        <v>261</v>
      </c>
      <c r="D37" s="494"/>
      <c r="E37" s="495"/>
      <c r="F37" s="399"/>
      <c r="G37" s="399"/>
      <c r="H37" s="399"/>
      <c r="I37" s="399"/>
      <c r="J37" s="64"/>
      <c r="K37" s="64"/>
    </row>
    <row r="38" spans="2:11" x14ac:dyDescent="0.3">
      <c r="B38" s="102">
        <v>30</v>
      </c>
      <c r="C38" s="20" t="s">
        <v>47</v>
      </c>
      <c r="D38" s="494"/>
      <c r="E38" s="495"/>
      <c r="F38" s="399"/>
      <c r="G38" s="399"/>
      <c r="H38" s="399"/>
      <c r="I38" s="399"/>
      <c r="J38" s="64"/>
      <c r="K38" s="64"/>
    </row>
    <row r="39" spans="2:11" x14ac:dyDescent="0.25">
      <c r="B39" s="102">
        <v>31</v>
      </c>
      <c r="C39" s="35" t="s">
        <v>262</v>
      </c>
      <c r="D39" s="496"/>
      <c r="E39" s="497"/>
      <c r="F39" s="399"/>
      <c r="G39" s="399"/>
      <c r="H39" s="399"/>
      <c r="I39" s="399"/>
      <c r="J39" s="64"/>
      <c r="K39" s="64"/>
    </row>
  </sheetData>
  <mergeCells count="8">
    <mergeCell ref="D9:E39"/>
    <mergeCell ref="B2:K2"/>
    <mergeCell ref="B3:K3"/>
    <mergeCell ref="B4:K4"/>
    <mergeCell ref="B7:B8"/>
    <mergeCell ref="C7:C8"/>
    <mergeCell ref="K7:K8"/>
    <mergeCell ref="B5:K5"/>
  </mergeCells>
  <pageMargins left="0.75" right="0.75" top="1" bottom="1" header="0.5" footer="0.5"/>
  <pageSetup paperSize="9" scale="7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K21"/>
  <sheetViews>
    <sheetView showGridLines="0" view="pageBreakPreview" topLeftCell="B1" zoomScale="90" zoomScaleNormal="80" zoomScaleSheetLayoutView="90" workbookViewId="0">
      <selection activeCell="F7" sqref="F7:I8"/>
    </sheetView>
  </sheetViews>
  <sheetFormatPr defaultColWidth="9.1796875" defaultRowHeight="14" x14ac:dyDescent="0.25"/>
  <cols>
    <col min="1" max="1" width="6.81640625" style="24" customWidth="1"/>
    <col min="2" max="2" width="8.7265625" style="101" customWidth="1"/>
    <col min="3" max="3" width="45.81640625" style="24" customWidth="1"/>
    <col min="4" max="11" width="15.7265625" style="24" customWidth="1"/>
    <col min="12" max="16384" width="9.1796875" style="24"/>
  </cols>
  <sheetData>
    <row r="2" spans="2:11" x14ac:dyDescent="0.25">
      <c r="B2" s="447" t="s">
        <v>628</v>
      </c>
      <c r="C2" s="439"/>
      <c r="D2" s="439"/>
      <c r="E2" s="439"/>
      <c r="F2" s="439"/>
      <c r="G2" s="439"/>
      <c r="H2" s="439"/>
      <c r="I2" s="439"/>
      <c r="J2" s="439"/>
      <c r="K2" s="439"/>
    </row>
    <row r="3" spans="2:11" s="9" customFormat="1" x14ac:dyDescent="0.3">
      <c r="B3" s="448" t="s">
        <v>570</v>
      </c>
      <c r="C3" s="439"/>
      <c r="D3" s="439"/>
      <c r="E3" s="439"/>
      <c r="F3" s="439"/>
      <c r="G3" s="439"/>
      <c r="H3" s="439"/>
      <c r="I3" s="439"/>
      <c r="J3" s="439"/>
      <c r="K3" s="439"/>
    </row>
    <row r="4" spans="2:11" s="9" customFormat="1" x14ac:dyDescent="0.3">
      <c r="B4" s="448" t="s">
        <v>263</v>
      </c>
      <c r="C4" s="439"/>
      <c r="D4" s="439"/>
      <c r="E4" s="439"/>
      <c r="F4" s="439"/>
      <c r="G4" s="439"/>
      <c r="H4" s="439"/>
      <c r="I4" s="439"/>
      <c r="J4" s="439"/>
      <c r="K4" s="439"/>
    </row>
    <row r="5" spans="2:11" x14ac:dyDescent="0.25">
      <c r="B5" s="448" t="s">
        <v>629</v>
      </c>
      <c r="C5" s="439"/>
      <c r="D5" s="439"/>
      <c r="E5" s="439"/>
      <c r="F5" s="439"/>
      <c r="G5" s="439"/>
      <c r="H5" s="439"/>
      <c r="I5" s="439"/>
      <c r="J5" s="439"/>
      <c r="K5" s="439"/>
    </row>
    <row r="6" spans="2:11" x14ac:dyDescent="0.25">
      <c r="E6" s="29" t="s">
        <v>16</v>
      </c>
      <c r="F6" s="29"/>
      <c r="G6" s="29"/>
      <c r="H6" s="29"/>
      <c r="I6" s="29"/>
    </row>
    <row r="7" spans="2:11" ht="12.75" customHeight="1" x14ac:dyDescent="0.25">
      <c r="B7" s="452" t="s">
        <v>351</v>
      </c>
      <c r="C7" s="451" t="s">
        <v>49</v>
      </c>
      <c r="D7" s="298" t="str">
        <f>'F1'!$E$7</f>
        <v>FY 2024-25</v>
      </c>
      <c r="E7" s="298" t="str">
        <f>'F1'!$F$7</f>
        <v>FY 2025-26</v>
      </c>
      <c r="F7" s="298" t="str">
        <f>'F1'!$G$7</f>
        <v>FY 2026-27</v>
      </c>
      <c r="G7" s="298" t="str">
        <f>'F1'!$H$7</f>
        <v>FY 2027-28</v>
      </c>
      <c r="H7" s="298" t="str">
        <f>'F1'!$I$7</f>
        <v>FY 2028-29</v>
      </c>
      <c r="I7" s="298" t="str">
        <f>'F1'!$J$7</f>
        <v>FY 2029-30</v>
      </c>
      <c r="J7" s="57"/>
      <c r="K7" s="491"/>
    </row>
    <row r="8" spans="2:11" ht="28" x14ac:dyDescent="0.25">
      <c r="B8" s="452"/>
      <c r="C8" s="451"/>
      <c r="D8" s="299" t="s">
        <v>569</v>
      </c>
      <c r="E8" s="299" t="s">
        <v>569</v>
      </c>
      <c r="F8" s="400" t="str">
        <f>'F1'!$G$8</f>
        <v>Projection</v>
      </c>
      <c r="G8" s="400" t="str">
        <f>'F1'!$H$8</f>
        <v>Projection</v>
      </c>
      <c r="H8" s="400" t="str">
        <f>'F1'!$I$8</f>
        <v>Projection</v>
      </c>
      <c r="I8" s="400" t="str">
        <f>'F1'!$J$8</f>
        <v>Projection</v>
      </c>
      <c r="J8" s="139"/>
      <c r="K8" s="491"/>
    </row>
    <row r="9" spans="2:11" x14ac:dyDescent="0.3">
      <c r="B9" s="102">
        <v>1</v>
      </c>
      <c r="C9" s="34" t="s">
        <v>264</v>
      </c>
      <c r="D9" s="492" t="s">
        <v>652</v>
      </c>
      <c r="E9" s="493"/>
      <c r="F9" s="399"/>
      <c r="G9" s="399"/>
      <c r="H9" s="399"/>
      <c r="I9" s="399"/>
      <c r="J9" s="64"/>
      <c r="K9" s="64"/>
    </row>
    <row r="10" spans="2:11" x14ac:dyDescent="0.3">
      <c r="B10" s="102">
        <v>2</v>
      </c>
      <c r="C10" s="34" t="s">
        <v>265</v>
      </c>
      <c r="D10" s="494"/>
      <c r="E10" s="495"/>
      <c r="F10" s="399"/>
      <c r="G10" s="399"/>
      <c r="H10" s="399"/>
      <c r="I10" s="399"/>
      <c r="J10" s="64"/>
      <c r="K10" s="64"/>
    </row>
    <row r="11" spans="2:11" x14ac:dyDescent="0.3">
      <c r="B11" s="102">
        <v>3</v>
      </c>
      <c r="C11" s="34" t="s">
        <v>266</v>
      </c>
      <c r="D11" s="494"/>
      <c r="E11" s="495"/>
      <c r="F11" s="399"/>
      <c r="G11" s="399"/>
      <c r="H11" s="399"/>
      <c r="I11" s="399"/>
      <c r="J11" s="64"/>
      <c r="K11" s="64"/>
    </row>
    <row r="12" spans="2:11" x14ac:dyDescent="0.3">
      <c r="B12" s="102">
        <v>4</v>
      </c>
      <c r="C12" s="34" t="s">
        <v>267</v>
      </c>
      <c r="D12" s="494"/>
      <c r="E12" s="495"/>
      <c r="F12" s="399"/>
      <c r="G12" s="399"/>
      <c r="H12" s="399"/>
      <c r="I12" s="399"/>
      <c r="J12" s="64"/>
      <c r="K12" s="64"/>
    </row>
    <row r="13" spans="2:11" x14ac:dyDescent="0.3">
      <c r="B13" s="102">
        <v>5</v>
      </c>
      <c r="C13" s="34" t="s">
        <v>268</v>
      </c>
      <c r="D13" s="494"/>
      <c r="E13" s="495"/>
      <c r="F13" s="399"/>
      <c r="G13" s="399"/>
      <c r="H13" s="399"/>
      <c r="I13" s="399"/>
      <c r="J13" s="64"/>
      <c r="K13" s="64"/>
    </row>
    <row r="14" spans="2:11" x14ac:dyDescent="0.3">
      <c r="B14" s="102">
        <v>6</v>
      </c>
      <c r="C14" s="34" t="s">
        <v>269</v>
      </c>
      <c r="D14" s="494"/>
      <c r="E14" s="495"/>
      <c r="F14" s="399"/>
      <c r="G14" s="399"/>
      <c r="H14" s="399"/>
      <c r="I14" s="399"/>
      <c r="J14" s="64"/>
      <c r="K14" s="64"/>
    </row>
    <row r="15" spans="2:11" x14ac:dyDescent="0.3">
      <c r="B15" s="102">
        <v>7</v>
      </c>
      <c r="C15" s="34" t="s">
        <v>270</v>
      </c>
      <c r="D15" s="494"/>
      <c r="E15" s="495"/>
      <c r="F15" s="399"/>
      <c r="G15" s="399"/>
      <c r="H15" s="399"/>
      <c r="I15" s="399"/>
      <c r="J15" s="64"/>
      <c r="K15" s="64"/>
    </row>
    <row r="16" spans="2:11" x14ac:dyDescent="0.3">
      <c r="B16" s="102">
        <v>8</v>
      </c>
      <c r="C16" s="34" t="s">
        <v>271</v>
      </c>
      <c r="D16" s="494"/>
      <c r="E16" s="495"/>
      <c r="F16" s="399"/>
      <c r="G16" s="399"/>
      <c r="H16" s="399"/>
      <c r="I16" s="399"/>
      <c r="J16" s="64"/>
      <c r="K16" s="64"/>
    </row>
    <row r="17" spans="2:11" x14ac:dyDescent="0.3">
      <c r="B17" s="102">
        <v>9</v>
      </c>
      <c r="C17" s="33" t="s">
        <v>272</v>
      </c>
      <c r="D17" s="494"/>
      <c r="E17" s="495"/>
      <c r="F17" s="399"/>
      <c r="G17" s="399"/>
      <c r="H17" s="399"/>
      <c r="I17" s="399"/>
      <c r="J17" s="64"/>
      <c r="K17" s="64"/>
    </row>
    <row r="18" spans="2:11" x14ac:dyDescent="0.25">
      <c r="B18" s="102"/>
      <c r="C18" s="36"/>
      <c r="D18" s="494"/>
      <c r="E18" s="495"/>
      <c r="F18" s="399"/>
      <c r="G18" s="399"/>
      <c r="H18" s="399"/>
      <c r="I18" s="399"/>
      <c r="J18" s="64"/>
      <c r="K18" s="64"/>
    </row>
    <row r="19" spans="2:11" x14ac:dyDescent="0.25">
      <c r="B19" s="102">
        <v>10</v>
      </c>
      <c r="C19" s="210" t="s">
        <v>273</v>
      </c>
      <c r="D19" s="494"/>
      <c r="E19" s="495"/>
      <c r="F19" s="399"/>
      <c r="G19" s="399"/>
      <c r="H19" s="399"/>
      <c r="I19" s="399"/>
      <c r="J19" s="64"/>
      <c r="K19" s="64"/>
    </row>
    <row r="20" spans="2:11" x14ac:dyDescent="0.25">
      <c r="B20" s="102">
        <v>11</v>
      </c>
      <c r="C20" s="210" t="s">
        <v>274</v>
      </c>
      <c r="D20" s="496"/>
      <c r="E20" s="497"/>
      <c r="F20" s="399"/>
      <c r="G20" s="399"/>
      <c r="H20" s="399"/>
      <c r="I20" s="399"/>
      <c r="J20" s="64"/>
      <c r="K20" s="64"/>
    </row>
    <row r="21" spans="2:11" x14ac:dyDescent="0.25">
      <c r="B21" s="102"/>
      <c r="C21" s="36"/>
      <c r="D21" s="32"/>
      <c r="E21" s="121"/>
      <c r="F21" s="64"/>
      <c r="G21" s="64"/>
      <c r="H21" s="64"/>
      <c r="I21" s="64"/>
      <c r="J21" s="64"/>
      <c r="K21" s="64"/>
    </row>
  </sheetData>
  <mergeCells count="8">
    <mergeCell ref="D9:E20"/>
    <mergeCell ref="B2:K2"/>
    <mergeCell ref="B3:K3"/>
    <mergeCell ref="B4:K4"/>
    <mergeCell ref="B7:B8"/>
    <mergeCell ref="C7:C8"/>
    <mergeCell ref="K7:K8"/>
    <mergeCell ref="B5:K5"/>
  </mergeCells>
  <pageMargins left="0.75" right="0.75" top="1" bottom="1" header="0.5" footer="0.5"/>
  <pageSetup paperSize="9" scale="7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K14"/>
  <sheetViews>
    <sheetView showGridLines="0" view="pageBreakPreview" zoomScale="90" zoomScaleSheetLayoutView="90" workbookViewId="0">
      <selection activeCell="E14" sqref="E14"/>
    </sheetView>
  </sheetViews>
  <sheetFormatPr defaultColWidth="9.1796875" defaultRowHeight="14" x14ac:dyDescent="0.3"/>
  <cols>
    <col min="1" max="1" width="4.1796875" style="9" customWidth="1"/>
    <col min="2" max="2" width="6.26953125" style="9" customWidth="1"/>
    <col min="3" max="3" width="46.54296875" style="9" customWidth="1"/>
    <col min="4" max="5" width="11.81640625" style="9" bestFit="1" customWidth="1"/>
    <col min="6" max="9" width="11.81640625" style="9" customWidth="1"/>
    <col min="10" max="10" width="11.7265625" style="9" bestFit="1" customWidth="1"/>
    <col min="11" max="16384" width="9.1796875" style="9"/>
  </cols>
  <sheetData>
    <row r="1" spans="2:11" x14ac:dyDescent="0.3">
      <c r="B1" s="56"/>
    </row>
    <row r="2" spans="2:11" x14ac:dyDescent="0.3">
      <c r="B2" s="447" t="s">
        <v>628</v>
      </c>
      <c r="C2" s="447"/>
      <c r="D2" s="447"/>
      <c r="E2" s="447"/>
      <c r="F2" s="447"/>
      <c r="G2" s="447"/>
      <c r="H2" s="447"/>
      <c r="I2" s="447"/>
      <c r="J2" s="447"/>
    </row>
    <row r="3" spans="2:11" x14ac:dyDescent="0.3">
      <c r="B3" s="448" t="s">
        <v>570</v>
      </c>
      <c r="C3" s="448"/>
      <c r="D3" s="448"/>
      <c r="E3" s="448"/>
      <c r="F3" s="448"/>
      <c r="G3" s="448"/>
      <c r="H3" s="448"/>
      <c r="I3" s="448"/>
      <c r="J3" s="448"/>
    </row>
    <row r="4" spans="2:11" x14ac:dyDescent="0.3">
      <c r="B4" s="448" t="s">
        <v>483</v>
      </c>
      <c r="C4" s="448"/>
      <c r="D4" s="448"/>
      <c r="E4" s="448"/>
      <c r="F4" s="448"/>
      <c r="G4" s="448"/>
      <c r="H4" s="448"/>
      <c r="I4" s="448"/>
      <c r="J4" s="448"/>
    </row>
    <row r="5" spans="2:11" x14ac:dyDescent="0.3">
      <c r="B5" s="448" t="s">
        <v>629</v>
      </c>
      <c r="C5" s="448"/>
      <c r="D5" s="448"/>
      <c r="E5" s="448"/>
      <c r="F5" s="448"/>
      <c r="G5" s="448"/>
      <c r="H5" s="448"/>
      <c r="I5" s="448"/>
      <c r="J5" s="448"/>
    </row>
    <row r="6" spans="2:11" x14ac:dyDescent="0.3">
      <c r="J6" s="29" t="s">
        <v>16</v>
      </c>
    </row>
    <row r="7" spans="2:11" s="24" customFormat="1" ht="15" customHeight="1" x14ac:dyDescent="0.25">
      <c r="B7" s="449" t="s">
        <v>351</v>
      </c>
      <c r="C7" s="451" t="s">
        <v>49</v>
      </c>
      <c r="D7" s="298" t="str">
        <f>'F1'!$E$7</f>
        <v>FY 2024-25</v>
      </c>
      <c r="E7" s="298" t="str">
        <f>'F1'!$F$7</f>
        <v>FY 2025-26</v>
      </c>
      <c r="F7" s="298" t="str">
        <f>'F1'!$G$7</f>
        <v>FY 2026-27</v>
      </c>
      <c r="G7" s="298" t="str">
        <f>'F1'!$H$7</f>
        <v>FY 2027-28</v>
      </c>
      <c r="H7" s="298" t="str">
        <f>'F1'!$I$7</f>
        <v>FY 2028-29</v>
      </c>
      <c r="I7" s="298" t="str">
        <f>'F1'!$J$7</f>
        <v>FY 2029-30</v>
      </c>
      <c r="J7" s="452" t="s">
        <v>40</v>
      </c>
    </row>
    <row r="8" spans="2:11" s="24" customFormat="1" ht="28" x14ac:dyDescent="0.25">
      <c r="B8" s="450"/>
      <c r="C8" s="451"/>
      <c r="D8" s="299" t="s">
        <v>569</v>
      </c>
      <c r="E8" s="299" t="s">
        <v>569</v>
      </c>
      <c r="F8" s="400" t="str">
        <f>'F1'!$G$8</f>
        <v>Projection</v>
      </c>
      <c r="G8" s="400" t="str">
        <f>'F1'!$H$8</f>
        <v>Projection</v>
      </c>
      <c r="H8" s="400" t="str">
        <f>'F1'!$I$8</f>
        <v>Projection</v>
      </c>
      <c r="I8" s="400" t="str">
        <f>'F1'!$J$8</f>
        <v>Projection</v>
      </c>
      <c r="J8" s="452"/>
    </row>
    <row r="9" spans="2:11" s="90" customFormat="1" x14ac:dyDescent="0.25">
      <c r="B9" s="200">
        <v>1</v>
      </c>
      <c r="C9" s="171" t="s">
        <v>32</v>
      </c>
      <c r="D9" s="202"/>
      <c r="E9" s="202"/>
      <c r="F9" s="202"/>
      <c r="G9" s="202"/>
      <c r="H9" s="202"/>
      <c r="I9" s="202"/>
      <c r="J9" s="202"/>
    </row>
    <row r="10" spans="2:11" s="90" customFormat="1" x14ac:dyDescent="0.25">
      <c r="B10" s="200"/>
      <c r="C10" s="171"/>
      <c r="D10" s="202"/>
      <c r="E10" s="202"/>
      <c r="F10" s="202"/>
      <c r="G10" s="202"/>
      <c r="H10" s="202"/>
      <c r="I10" s="202"/>
      <c r="J10" s="202"/>
    </row>
    <row r="11" spans="2:11" s="90" customFormat="1" x14ac:dyDescent="0.25">
      <c r="B11" s="200">
        <f>B9+1</f>
        <v>2</v>
      </c>
      <c r="C11" s="91" t="s">
        <v>28</v>
      </c>
      <c r="D11" s="343">
        <v>4855.619647999999</v>
      </c>
      <c r="E11" s="343">
        <v>0</v>
      </c>
      <c r="F11" s="343">
        <v>0</v>
      </c>
      <c r="G11" s="343">
        <v>0</v>
      </c>
      <c r="H11" s="343">
        <v>0</v>
      </c>
      <c r="I11" s="343">
        <v>0</v>
      </c>
      <c r="J11" s="91"/>
    </row>
    <row r="12" spans="2:11" s="90" customFormat="1" x14ac:dyDescent="0.25">
      <c r="B12" s="200">
        <f>B11+1</f>
        <v>3</v>
      </c>
      <c r="C12" s="91" t="s">
        <v>422</v>
      </c>
      <c r="D12" s="343">
        <v>1170.886287586615</v>
      </c>
      <c r="E12" s="343">
        <v>0</v>
      </c>
      <c r="F12" s="343">
        <v>0</v>
      </c>
      <c r="G12" s="343">
        <v>0</v>
      </c>
      <c r="H12" s="343">
        <v>0</v>
      </c>
      <c r="I12" s="343">
        <v>0</v>
      </c>
      <c r="J12" s="91"/>
    </row>
    <row r="13" spans="2:11" s="92" customFormat="1" x14ac:dyDescent="0.25">
      <c r="B13" s="200">
        <f>B12+1</f>
        <v>4</v>
      </c>
      <c r="C13" s="433" t="s">
        <v>712</v>
      </c>
      <c r="D13" s="333"/>
      <c r="E13" s="333">
        <f>808.3</f>
        <v>808.3</v>
      </c>
      <c r="F13" s="433"/>
      <c r="G13" s="433"/>
      <c r="H13" s="433"/>
      <c r="I13" s="433"/>
      <c r="J13" s="433"/>
    </row>
    <row r="14" spans="2:11" s="66" customFormat="1" x14ac:dyDescent="0.25">
      <c r="B14" s="200">
        <f>B13+1</f>
        <v>5</v>
      </c>
      <c r="C14" s="205" t="s">
        <v>484</v>
      </c>
      <c r="D14" s="376">
        <f>SUM(D11:D13)</f>
        <v>6026.5059355866142</v>
      </c>
      <c r="E14" s="376">
        <f t="shared" ref="E14:I14" si="0">SUM(E11:E13)</f>
        <v>808.3</v>
      </c>
      <c r="F14" s="376">
        <f t="shared" si="0"/>
        <v>0</v>
      </c>
      <c r="G14" s="376">
        <f t="shared" si="0"/>
        <v>0</v>
      </c>
      <c r="H14" s="376">
        <f t="shared" si="0"/>
        <v>0</v>
      </c>
      <c r="I14" s="376">
        <f t="shared" si="0"/>
        <v>0</v>
      </c>
      <c r="J14" s="205"/>
      <c r="K14" s="92"/>
    </row>
  </sheetData>
  <mergeCells count="7">
    <mergeCell ref="B5:J5"/>
    <mergeCell ref="J7:J8"/>
    <mergeCell ref="B7:B8"/>
    <mergeCell ref="C7:C8"/>
    <mergeCell ref="B2:J2"/>
    <mergeCell ref="B3:J3"/>
    <mergeCell ref="B4:J4"/>
  </mergeCells>
  <pageMargins left="1.02" right="0.25" top="1" bottom="1" header="0.25" footer="0.25"/>
  <pageSetup paperSize="9" scale="97" orientation="landscape" r:id="rId1"/>
  <headerFooter alignWithMargins="0">
    <oddHeader>&amp;F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B52"/>
  <sheetViews>
    <sheetView showGridLines="0" view="pageBreakPreview" zoomScale="60" zoomScaleNormal="70" workbookViewId="0">
      <selection activeCell="T8" sqref="T8"/>
    </sheetView>
  </sheetViews>
  <sheetFormatPr defaultColWidth="9.1796875" defaultRowHeight="14" x14ac:dyDescent="0.3"/>
  <cols>
    <col min="1" max="1" width="4.54296875" style="1" customWidth="1"/>
    <col min="2" max="2" width="42.1796875" style="1" customWidth="1"/>
    <col min="3" max="5" width="15.7265625" style="1" customWidth="1"/>
    <col min="6" max="6" width="20.26953125" style="1" bestFit="1" customWidth="1"/>
    <col min="7" max="7" width="15.54296875" style="1" customWidth="1"/>
    <col min="8" max="8" width="14.26953125" style="1" customWidth="1"/>
    <col min="9" max="13" width="15.453125" style="1" customWidth="1"/>
    <col min="14" max="14" width="18.81640625" style="1" customWidth="1"/>
    <col min="15" max="15" width="22.7265625" style="1" bestFit="1" customWidth="1"/>
    <col min="16" max="16" width="19" style="1" bestFit="1" customWidth="1"/>
    <col min="17" max="18" width="16.453125" style="1" customWidth="1"/>
    <col min="19" max="19" width="20.7265625" style="1" bestFit="1" customWidth="1"/>
    <col min="20" max="20" width="12.7265625" style="1" customWidth="1"/>
    <col min="21" max="21" width="14" style="1" customWidth="1"/>
    <col min="22" max="24" width="12.7265625" style="1" customWidth="1"/>
    <col min="25" max="25" width="15.26953125" style="1" customWidth="1"/>
    <col min="26" max="26" width="12.54296875" style="1" customWidth="1"/>
    <col min="27" max="27" width="13.453125" style="1" customWidth="1"/>
    <col min="28" max="28" width="13.54296875" style="1" customWidth="1"/>
    <col min="29" max="16384" width="9.1796875" style="1"/>
  </cols>
  <sheetData>
    <row r="1" spans="2:28" ht="15.75" customHeight="1" x14ac:dyDescent="0.3"/>
    <row r="2" spans="2:28" ht="15" customHeight="1" x14ac:dyDescent="0.3">
      <c r="B2" s="519" t="s">
        <v>628</v>
      </c>
      <c r="C2" s="519"/>
      <c r="D2" s="519"/>
      <c r="E2" s="519"/>
      <c r="F2" s="519"/>
      <c r="G2" s="519"/>
      <c r="H2" s="519"/>
      <c r="I2" s="519"/>
      <c r="J2" s="519"/>
      <c r="K2" s="519"/>
      <c r="L2" s="519"/>
      <c r="M2" s="519"/>
      <c r="N2" s="519"/>
      <c r="O2" s="519"/>
      <c r="P2" s="519"/>
      <c r="Q2" s="519"/>
      <c r="R2" s="519"/>
      <c r="S2" s="519"/>
    </row>
    <row r="3" spans="2:28" ht="15" customHeight="1" x14ac:dyDescent="0.3">
      <c r="B3" s="448" t="s">
        <v>570</v>
      </c>
      <c r="C3" s="448"/>
      <c r="D3" s="448"/>
      <c r="E3" s="448"/>
      <c r="F3" s="448"/>
      <c r="G3" s="448"/>
      <c r="H3" s="448"/>
      <c r="I3" s="448"/>
      <c r="J3" s="448"/>
      <c r="K3" s="448"/>
      <c r="L3" s="448"/>
      <c r="M3" s="448"/>
      <c r="N3" s="448"/>
      <c r="O3" s="448"/>
      <c r="P3" s="448"/>
      <c r="Q3" s="448"/>
      <c r="R3" s="448"/>
      <c r="S3" s="448"/>
      <c r="T3" s="448"/>
      <c r="U3" s="12"/>
      <c r="V3" s="12"/>
      <c r="W3" s="12"/>
    </row>
    <row r="4" spans="2:28" ht="15" customHeight="1" x14ac:dyDescent="0.3">
      <c r="B4" s="518" t="s">
        <v>502</v>
      </c>
      <c r="C4" s="518"/>
      <c r="D4" s="518"/>
      <c r="E4" s="518"/>
      <c r="F4" s="518"/>
      <c r="G4" s="518"/>
      <c r="H4" s="518"/>
      <c r="I4" s="518"/>
      <c r="J4" s="518"/>
      <c r="K4" s="518"/>
      <c r="L4" s="518"/>
      <c r="M4" s="518"/>
      <c r="N4" s="518"/>
      <c r="O4" s="518"/>
      <c r="P4" s="518"/>
      <c r="Q4" s="518"/>
      <c r="R4" s="518"/>
      <c r="S4" s="518"/>
      <c r="T4" s="518"/>
      <c r="U4" s="12"/>
      <c r="V4" s="12"/>
      <c r="W4" s="12"/>
    </row>
    <row r="5" spans="2:28" x14ac:dyDescent="0.3">
      <c r="B5" s="518" t="s">
        <v>629</v>
      </c>
      <c r="C5" s="518"/>
      <c r="D5" s="518"/>
      <c r="E5" s="518"/>
      <c r="F5" s="518"/>
      <c r="G5" s="518"/>
      <c r="H5" s="518"/>
      <c r="I5" s="518"/>
      <c r="J5" s="518"/>
      <c r="K5" s="518"/>
      <c r="L5" s="518"/>
      <c r="M5" s="518"/>
      <c r="N5" s="518"/>
      <c r="O5" s="518"/>
      <c r="P5" s="518"/>
      <c r="Q5" s="518"/>
      <c r="R5" s="518"/>
      <c r="S5" s="518"/>
      <c r="T5" s="518"/>
      <c r="U5" s="12"/>
      <c r="V5" s="12"/>
      <c r="W5" s="12"/>
      <c r="X5" s="12"/>
      <c r="Y5" s="12"/>
      <c r="Z5" s="12"/>
      <c r="AA5" s="12"/>
      <c r="AB5" s="12"/>
    </row>
    <row r="6" spans="2:28" ht="15.75" customHeight="1" x14ac:dyDescent="0.35">
      <c r="B6" s="17" t="s">
        <v>0</v>
      </c>
      <c r="F6" s="12"/>
      <c r="G6" s="12"/>
      <c r="H6" s="12"/>
      <c r="I6" s="12"/>
      <c r="J6" s="12"/>
      <c r="K6" s="12"/>
      <c r="L6" s="12"/>
      <c r="M6" s="12"/>
      <c r="N6" s="12"/>
      <c r="O6" s="12"/>
      <c r="P6" s="12"/>
      <c r="Q6" s="12"/>
      <c r="R6" s="12"/>
      <c r="S6" s="12"/>
      <c r="T6" s="12"/>
      <c r="U6" s="12"/>
      <c r="V6" s="12"/>
      <c r="W6" s="12"/>
      <c r="X6" s="12"/>
      <c r="Y6" s="12"/>
      <c r="Z6" s="12"/>
      <c r="AA6" s="12"/>
      <c r="AB6" s="12"/>
    </row>
    <row r="7" spans="2:28" x14ac:dyDescent="0.3">
      <c r="B7" s="16"/>
      <c r="C7" s="16"/>
      <c r="D7" s="16"/>
      <c r="E7" s="16"/>
      <c r="F7" s="12"/>
      <c r="G7" s="12"/>
      <c r="H7" s="12"/>
      <c r="I7" s="12"/>
      <c r="J7" s="12"/>
      <c r="K7" s="12"/>
      <c r="L7" s="12"/>
      <c r="M7" s="12"/>
      <c r="S7" s="10" t="s">
        <v>16</v>
      </c>
      <c r="T7" s="10"/>
      <c r="U7" s="10"/>
      <c r="V7" s="10"/>
      <c r="W7" s="10"/>
      <c r="X7" s="10"/>
      <c r="Y7" s="12"/>
      <c r="Z7" s="12"/>
      <c r="AA7" s="12"/>
    </row>
    <row r="8" spans="2:28" s="99" customFormat="1" ht="13.9" customHeight="1" x14ac:dyDescent="0.25">
      <c r="B8" s="473" t="s">
        <v>26</v>
      </c>
      <c r="C8" s="473" t="s">
        <v>1</v>
      </c>
      <c r="D8" s="473" t="s">
        <v>489</v>
      </c>
      <c r="E8" s="473" t="s">
        <v>490</v>
      </c>
      <c r="F8" s="473" t="s">
        <v>6</v>
      </c>
      <c r="G8" s="514" t="s">
        <v>2</v>
      </c>
      <c r="H8" s="515"/>
      <c r="I8" s="516"/>
      <c r="J8" s="514" t="s">
        <v>13</v>
      </c>
      <c r="K8" s="515"/>
      <c r="L8" s="516"/>
      <c r="M8" s="514" t="s">
        <v>491</v>
      </c>
      <c r="N8" s="515"/>
      <c r="O8" s="515"/>
      <c r="P8" s="515"/>
      <c r="Q8" s="515"/>
      <c r="R8" s="515"/>
      <c r="S8" s="516"/>
    </row>
    <row r="9" spans="2:28" s="99" customFormat="1" ht="26.25" customHeight="1" x14ac:dyDescent="0.25">
      <c r="B9" s="517"/>
      <c r="C9" s="517"/>
      <c r="D9" s="517"/>
      <c r="E9" s="517"/>
      <c r="F9" s="517"/>
      <c r="G9" s="476" t="s">
        <v>17</v>
      </c>
      <c r="H9" s="476" t="s">
        <v>14</v>
      </c>
      <c r="I9" s="476" t="s">
        <v>492</v>
      </c>
      <c r="J9" s="476" t="s">
        <v>17</v>
      </c>
      <c r="K9" s="476" t="s">
        <v>14</v>
      </c>
      <c r="L9" s="476" t="s">
        <v>12</v>
      </c>
      <c r="M9" s="476" t="s">
        <v>38</v>
      </c>
      <c r="N9" s="473" t="s">
        <v>493</v>
      </c>
      <c r="O9" s="520" t="s">
        <v>559</v>
      </c>
      <c r="P9" s="521"/>
      <c r="Q9" s="521"/>
      <c r="R9" s="521"/>
      <c r="S9" s="522"/>
    </row>
    <row r="10" spans="2:28" s="4" customFormat="1" ht="30" customHeight="1" x14ac:dyDescent="0.3">
      <c r="B10" s="474"/>
      <c r="C10" s="474"/>
      <c r="D10" s="474"/>
      <c r="E10" s="474"/>
      <c r="F10" s="474"/>
      <c r="G10" s="477"/>
      <c r="H10" s="477"/>
      <c r="I10" s="477"/>
      <c r="J10" s="477"/>
      <c r="K10" s="477"/>
      <c r="L10" s="477"/>
      <c r="M10" s="477"/>
      <c r="N10" s="474"/>
      <c r="O10" s="281" t="s">
        <v>565</v>
      </c>
      <c r="P10" s="281" t="s">
        <v>560</v>
      </c>
      <c r="Q10" s="281" t="s">
        <v>561</v>
      </c>
      <c r="R10" s="281" t="s">
        <v>562</v>
      </c>
      <c r="S10" s="281" t="s">
        <v>563</v>
      </c>
    </row>
    <row r="11" spans="2:28" s="4" customFormat="1" x14ac:dyDescent="0.3">
      <c r="B11" s="95" t="s">
        <v>507</v>
      </c>
      <c r="C11" s="498" t="s">
        <v>652</v>
      </c>
      <c r="D11" s="499"/>
      <c r="E11" s="499"/>
      <c r="F11" s="499"/>
      <c r="G11" s="499"/>
      <c r="H11" s="499"/>
      <c r="I11" s="499"/>
      <c r="J11" s="499"/>
      <c r="K11" s="499"/>
      <c r="L11" s="499"/>
      <c r="M11" s="500"/>
      <c r="N11" s="227"/>
      <c r="O11" s="227"/>
      <c r="P11" s="227"/>
      <c r="Q11" s="227"/>
      <c r="R11" s="227"/>
      <c r="S11" s="227"/>
    </row>
    <row r="12" spans="2:28" s="4" customFormat="1" x14ac:dyDescent="0.3">
      <c r="B12" s="95" t="s">
        <v>33</v>
      </c>
      <c r="C12" s="501"/>
      <c r="D12" s="502"/>
      <c r="E12" s="502"/>
      <c r="F12" s="502"/>
      <c r="G12" s="502"/>
      <c r="H12" s="502"/>
      <c r="I12" s="502"/>
      <c r="J12" s="502"/>
      <c r="K12" s="502"/>
      <c r="L12" s="502"/>
      <c r="M12" s="503"/>
      <c r="N12" s="227"/>
      <c r="O12" s="227"/>
      <c r="P12" s="227"/>
      <c r="Q12" s="227"/>
      <c r="R12" s="227"/>
      <c r="S12" s="227"/>
    </row>
    <row r="13" spans="2:28" s="4" customFormat="1" x14ac:dyDescent="0.3">
      <c r="B13" s="96" t="s">
        <v>35</v>
      </c>
      <c r="C13" s="501"/>
      <c r="D13" s="502"/>
      <c r="E13" s="502"/>
      <c r="F13" s="502"/>
      <c r="G13" s="502"/>
      <c r="H13" s="502"/>
      <c r="I13" s="502"/>
      <c r="J13" s="502"/>
      <c r="K13" s="502"/>
      <c r="L13" s="502"/>
      <c r="M13" s="503"/>
      <c r="N13" s="227"/>
      <c r="O13" s="227"/>
      <c r="P13" s="227"/>
      <c r="Q13" s="227"/>
      <c r="R13" s="227"/>
      <c r="S13" s="227"/>
    </row>
    <row r="14" spans="2:28" s="4" customFormat="1" x14ac:dyDescent="0.3">
      <c r="B14" s="5" t="s">
        <v>37</v>
      </c>
      <c r="C14" s="501"/>
      <c r="D14" s="502"/>
      <c r="E14" s="502"/>
      <c r="F14" s="502"/>
      <c r="G14" s="502"/>
      <c r="H14" s="502"/>
      <c r="I14" s="502"/>
      <c r="J14" s="502"/>
      <c r="K14" s="502"/>
      <c r="L14" s="502"/>
      <c r="M14" s="503"/>
      <c r="N14" s="227"/>
      <c r="O14" s="227"/>
      <c r="P14" s="227"/>
      <c r="Q14" s="227"/>
      <c r="R14" s="227"/>
      <c r="S14" s="227"/>
    </row>
    <row r="15" spans="2:28" s="4" customFormat="1" x14ac:dyDescent="0.3">
      <c r="B15" s="5" t="s">
        <v>37</v>
      </c>
      <c r="C15" s="501"/>
      <c r="D15" s="502"/>
      <c r="E15" s="502"/>
      <c r="F15" s="502"/>
      <c r="G15" s="502"/>
      <c r="H15" s="502"/>
      <c r="I15" s="502"/>
      <c r="J15" s="502"/>
      <c r="K15" s="502"/>
      <c r="L15" s="502"/>
      <c r="M15" s="503"/>
      <c r="N15" s="227"/>
      <c r="O15" s="227"/>
      <c r="P15" s="227"/>
      <c r="Q15" s="227"/>
      <c r="R15" s="227"/>
      <c r="S15" s="227"/>
    </row>
    <row r="16" spans="2:28" s="4" customFormat="1" x14ac:dyDescent="0.3">
      <c r="B16" s="96" t="s">
        <v>36</v>
      </c>
      <c r="C16" s="501"/>
      <c r="D16" s="502"/>
      <c r="E16" s="502"/>
      <c r="F16" s="502"/>
      <c r="G16" s="502"/>
      <c r="H16" s="502"/>
      <c r="I16" s="502"/>
      <c r="J16" s="502"/>
      <c r="K16" s="502"/>
      <c r="L16" s="502"/>
      <c r="M16" s="503"/>
      <c r="N16" s="227"/>
      <c r="O16" s="227"/>
      <c r="P16" s="227"/>
      <c r="Q16" s="227"/>
      <c r="R16" s="227"/>
      <c r="S16" s="227"/>
    </row>
    <row r="17" spans="2:28" s="4" customFormat="1" x14ac:dyDescent="0.3">
      <c r="B17" s="5" t="s">
        <v>37</v>
      </c>
      <c r="C17" s="501"/>
      <c r="D17" s="502"/>
      <c r="E17" s="502"/>
      <c r="F17" s="502"/>
      <c r="G17" s="502"/>
      <c r="H17" s="502"/>
      <c r="I17" s="502"/>
      <c r="J17" s="502"/>
      <c r="K17" s="502"/>
      <c r="L17" s="502"/>
      <c r="M17" s="503"/>
      <c r="N17" s="227"/>
      <c r="O17" s="227"/>
      <c r="P17" s="227"/>
      <c r="Q17" s="227"/>
      <c r="R17" s="227"/>
      <c r="S17" s="227"/>
    </row>
    <row r="18" spans="2:28" s="4" customFormat="1" x14ac:dyDescent="0.3">
      <c r="B18" s="5" t="s">
        <v>37</v>
      </c>
      <c r="C18" s="501"/>
      <c r="D18" s="502"/>
      <c r="E18" s="502"/>
      <c r="F18" s="502"/>
      <c r="G18" s="502"/>
      <c r="H18" s="502"/>
      <c r="I18" s="502"/>
      <c r="J18" s="502"/>
      <c r="K18" s="502"/>
      <c r="L18" s="502"/>
      <c r="M18" s="503"/>
      <c r="N18" s="227"/>
      <c r="O18" s="227"/>
      <c r="P18" s="227"/>
      <c r="Q18" s="227"/>
      <c r="R18" s="227"/>
      <c r="S18" s="227"/>
    </row>
    <row r="19" spans="2:28" s="4" customFormat="1" x14ac:dyDescent="0.3">
      <c r="B19" s="6" t="s">
        <v>34</v>
      </c>
      <c r="C19" s="501"/>
      <c r="D19" s="502"/>
      <c r="E19" s="502"/>
      <c r="F19" s="502"/>
      <c r="G19" s="502"/>
      <c r="H19" s="502"/>
      <c r="I19" s="502"/>
      <c r="J19" s="502"/>
      <c r="K19" s="502"/>
      <c r="L19" s="502"/>
      <c r="M19" s="503"/>
      <c r="N19" s="227"/>
      <c r="O19" s="227"/>
      <c r="P19" s="227"/>
      <c r="Q19" s="227"/>
      <c r="R19" s="227"/>
      <c r="S19" s="227"/>
    </row>
    <row r="20" spans="2:28" s="4" customFormat="1" x14ac:dyDescent="0.3">
      <c r="B20" s="5" t="s">
        <v>37</v>
      </c>
      <c r="C20" s="501"/>
      <c r="D20" s="502"/>
      <c r="E20" s="502"/>
      <c r="F20" s="502"/>
      <c r="G20" s="502"/>
      <c r="H20" s="502"/>
      <c r="I20" s="502"/>
      <c r="J20" s="502"/>
      <c r="K20" s="502"/>
      <c r="L20" s="502"/>
      <c r="M20" s="503"/>
      <c r="N20" s="227"/>
      <c r="O20" s="227"/>
      <c r="P20" s="227"/>
      <c r="Q20" s="227"/>
      <c r="R20" s="227"/>
      <c r="S20" s="227"/>
    </row>
    <row r="21" spans="2:28" s="4" customFormat="1" x14ac:dyDescent="0.3">
      <c r="B21" s="5" t="s">
        <v>37</v>
      </c>
      <c r="C21" s="501"/>
      <c r="D21" s="502"/>
      <c r="E21" s="502"/>
      <c r="F21" s="502"/>
      <c r="G21" s="502"/>
      <c r="H21" s="502"/>
      <c r="I21" s="502"/>
      <c r="J21" s="502"/>
      <c r="K21" s="502"/>
      <c r="L21" s="502"/>
      <c r="M21" s="503"/>
      <c r="N21" s="227"/>
      <c r="O21" s="227"/>
      <c r="P21" s="227"/>
      <c r="Q21" s="227"/>
      <c r="R21" s="227"/>
      <c r="S21" s="227"/>
    </row>
    <row r="22" spans="2:28" s="4" customFormat="1" x14ac:dyDescent="0.3">
      <c r="B22" s="97"/>
      <c r="C22" s="501"/>
      <c r="D22" s="502"/>
      <c r="E22" s="502"/>
      <c r="F22" s="502"/>
      <c r="G22" s="502"/>
      <c r="H22" s="502"/>
      <c r="I22" s="502"/>
      <c r="J22" s="502"/>
      <c r="K22" s="502"/>
      <c r="L22" s="502"/>
      <c r="M22" s="503"/>
      <c r="N22" s="227"/>
      <c r="O22" s="227"/>
      <c r="P22" s="227"/>
      <c r="Q22" s="227"/>
      <c r="R22" s="227"/>
      <c r="S22" s="227"/>
    </row>
    <row r="23" spans="2:28" s="4" customFormat="1" x14ac:dyDescent="0.3">
      <c r="B23" s="95" t="s">
        <v>653</v>
      </c>
      <c r="C23" s="501"/>
      <c r="D23" s="502"/>
      <c r="E23" s="502"/>
      <c r="F23" s="502"/>
      <c r="G23" s="502"/>
      <c r="H23" s="502"/>
      <c r="I23" s="502"/>
      <c r="J23" s="502"/>
      <c r="K23" s="502"/>
      <c r="L23" s="502"/>
      <c r="M23" s="503"/>
      <c r="N23" s="227"/>
      <c r="O23" s="227"/>
      <c r="P23" s="227"/>
      <c r="Q23" s="227"/>
      <c r="R23" s="227"/>
      <c r="S23" s="227"/>
    </row>
    <row r="24" spans="2:28" s="4" customFormat="1" x14ac:dyDescent="0.3">
      <c r="B24" s="5" t="s">
        <v>37</v>
      </c>
      <c r="C24" s="501"/>
      <c r="D24" s="502"/>
      <c r="E24" s="502"/>
      <c r="F24" s="502"/>
      <c r="G24" s="502"/>
      <c r="H24" s="502"/>
      <c r="I24" s="502"/>
      <c r="J24" s="502"/>
      <c r="K24" s="502"/>
      <c r="L24" s="502"/>
      <c r="M24" s="503"/>
      <c r="N24" s="227"/>
      <c r="O24" s="227"/>
      <c r="P24" s="227"/>
      <c r="Q24" s="227"/>
      <c r="R24" s="227"/>
      <c r="S24" s="227"/>
    </row>
    <row r="25" spans="2:28" s="4" customFormat="1" x14ac:dyDescent="0.3">
      <c r="B25" s="5" t="s">
        <v>37</v>
      </c>
      <c r="C25" s="501"/>
      <c r="D25" s="502"/>
      <c r="E25" s="502"/>
      <c r="F25" s="502"/>
      <c r="G25" s="502"/>
      <c r="H25" s="502"/>
      <c r="I25" s="502"/>
      <c r="J25" s="502"/>
      <c r="K25" s="502"/>
      <c r="L25" s="502"/>
      <c r="M25" s="503"/>
      <c r="N25" s="227"/>
      <c r="O25" s="227"/>
      <c r="P25" s="227"/>
      <c r="Q25" s="227"/>
      <c r="R25" s="227"/>
      <c r="S25" s="227"/>
    </row>
    <row r="26" spans="2:28" s="4" customFormat="1" x14ac:dyDescent="0.3">
      <c r="B26" s="97"/>
      <c r="C26" s="504"/>
      <c r="D26" s="505"/>
      <c r="E26" s="505"/>
      <c r="F26" s="505"/>
      <c r="G26" s="505"/>
      <c r="H26" s="505"/>
      <c r="I26" s="505"/>
      <c r="J26" s="505"/>
      <c r="K26" s="505"/>
      <c r="L26" s="505"/>
      <c r="M26" s="506"/>
      <c r="N26" s="227"/>
      <c r="O26" s="227"/>
      <c r="P26" s="227"/>
      <c r="Q26" s="227"/>
      <c r="R26" s="227"/>
      <c r="S26" s="227"/>
    </row>
    <row r="27" spans="2:28" x14ac:dyDescent="0.3">
      <c r="B27" s="3" t="s">
        <v>5</v>
      </c>
      <c r="C27" s="2"/>
      <c r="D27" s="2"/>
      <c r="E27" s="2"/>
      <c r="F27" s="2"/>
      <c r="G27" s="2"/>
      <c r="H27" s="2"/>
      <c r="I27" s="2"/>
      <c r="J27" s="2"/>
      <c r="K27" s="2"/>
      <c r="L27" s="2"/>
      <c r="M27" s="2"/>
      <c r="N27" s="2"/>
      <c r="O27" s="2"/>
      <c r="P27" s="2"/>
      <c r="Q27" s="2"/>
      <c r="R27" s="2"/>
      <c r="S27" s="98"/>
    </row>
    <row r="29" spans="2:28" x14ac:dyDescent="0.3">
      <c r="N29" s="18"/>
      <c r="O29" s="18"/>
      <c r="P29" s="18"/>
      <c r="Q29" s="18"/>
      <c r="R29" s="18"/>
    </row>
    <row r="30" spans="2:28" ht="15" customHeight="1" x14ac:dyDescent="0.3">
      <c r="B30" s="238"/>
      <c r="C30" s="238"/>
      <c r="D30" s="238"/>
      <c r="E30" s="238"/>
      <c r="F30" s="238"/>
      <c r="G30" s="238"/>
      <c r="H30" s="238"/>
      <c r="I30" s="238"/>
      <c r="J30" s="238"/>
      <c r="K30" s="238"/>
      <c r="L30" s="89"/>
      <c r="M30" s="89"/>
      <c r="N30" s="89"/>
      <c r="O30" s="89"/>
      <c r="P30" s="89"/>
      <c r="Q30" s="89"/>
      <c r="R30" s="89"/>
      <c r="S30" s="89"/>
      <c r="T30" s="89"/>
      <c r="U30" s="13"/>
      <c r="V30" s="13"/>
      <c r="W30" s="13"/>
      <c r="X30" s="13"/>
      <c r="Y30" s="12"/>
      <c r="Z30" s="12"/>
      <c r="AA30" s="12"/>
      <c r="AB30" s="12"/>
    </row>
    <row r="31" spans="2:28" ht="17.5" x14ac:dyDescent="0.35">
      <c r="B31" s="11" t="s">
        <v>15</v>
      </c>
    </row>
    <row r="32" spans="2:28" x14ac:dyDescent="0.3">
      <c r="K32" s="10" t="s">
        <v>16</v>
      </c>
      <c r="N32" s="9"/>
      <c r="O32" s="9"/>
      <c r="P32" s="9"/>
      <c r="Q32" s="9"/>
      <c r="R32" s="9"/>
    </row>
    <row r="33" spans="2:13" ht="25.5" customHeight="1" x14ac:dyDescent="0.3">
      <c r="B33" s="507" t="s">
        <v>7</v>
      </c>
      <c r="C33" s="463" t="s">
        <v>494</v>
      </c>
      <c r="D33" s="463"/>
      <c r="E33" s="463"/>
      <c r="F33" s="463"/>
      <c r="G33" s="463"/>
      <c r="H33" s="463"/>
      <c r="I33" s="463"/>
      <c r="J33" s="463"/>
      <c r="K33" s="463"/>
      <c r="L33" s="8"/>
      <c r="M33" s="8"/>
    </row>
    <row r="34" spans="2:13" ht="17.5" customHeight="1" x14ac:dyDescent="0.3">
      <c r="B34" s="508"/>
      <c r="C34" s="510" t="s">
        <v>489</v>
      </c>
      <c r="D34" s="510" t="s">
        <v>490</v>
      </c>
      <c r="E34" s="510" t="s">
        <v>20</v>
      </c>
      <c r="F34" s="510" t="s">
        <v>8</v>
      </c>
      <c r="G34" s="512" t="s">
        <v>9</v>
      </c>
      <c r="H34" s="513"/>
      <c r="I34" s="513"/>
      <c r="J34" s="513"/>
      <c r="K34" s="513"/>
      <c r="L34" s="7"/>
      <c r="M34" s="7"/>
    </row>
    <row r="35" spans="2:13" ht="47.25" customHeight="1" x14ac:dyDescent="0.3">
      <c r="B35" s="509"/>
      <c r="C35" s="511"/>
      <c r="D35" s="511"/>
      <c r="E35" s="511"/>
      <c r="F35" s="511"/>
      <c r="G35" s="237" t="s">
        <v>3</v>
      </c>
      <c r="H35" s="237" t="s">
        <v>21</v>
      </c>
      <c r="I35" s="237" t="s">
        <v>18</v>
      </c>
      <c r="J35" s="237" t="s">
        <v>19</v>
      </c>
      <c r="K35" s="237" t="s">
        <v>4</v>
      </c>
    </row>
    <row r="36" spans="2:13" s="4" customFormat="1" x14ac:dyDescent="0.3">
      <c r="B36" s="95" t="s">
        <v>654</v>
      </c>
      <c r="C36" s="498" t="s">
        <v>652</v>
      </c>
      <c r="D36" s="499"/>
      <c r="E36" s="499"/>
      <c r="F36" s="499"/>
      <c r="G36" s="499"/>
      <c r="H36" s="499"/>
      <c r="I36" s="499"/>
      <c r="J36" s="499"/>
      <c r="K36" s="500"/>
    </row>
    <row r="37" spans="2:13" s="4" customFormat="1" x14ac:dyDescent="0.3">
      <c r="B37" s="95" t="s">
        <v>33</v>
      </c>
      <c r="C37" s="501"/>
      <c r="D37" s="502"/>
      <c r="E37" s="502"/>
      <c r="F37" s="502"/>
      <c r="G37" s="502"/>
      <c r="H37" s="502"/>
      <c r="I37" s="502"/>
      <c r="J37" s="502"/>
      <c r="K37" s="503"/>
    </row>
    <row r="38" spans="2:13" s="4" customFormat="1" x14ac:dyDescent="0.3">
      <c r="B38" s="96" t="s">
        <v>35</v>
      </c>
      <c r="C38" s="501"/>
      <c r="D38" s="502"/>
      <c r="E38" s="502"/>
      <c r="F38" s="502"/>
      <c r="G38" s="502"/>
      <c r="H38" s="502"/>
      <c r="I38" s="502"/>
      <c r="J38" s="502"/>
      <c r="K38" s="503"/>
    </row>
    <row r="39" spans="2:13" s="4" customFormat="1" x14ac:dyDescent="0.3">
      <c r="B39" s="5" t="s">
        <v>37</v>
      </c>
      <c r="C39" s="501"/>
      <c r="D39" s="502"/>
      <c r="E39" s="502"/>
      <c r="F39" s="502"/>
      <c r="G39" s="502"/>
      <c r="H39" s="502"/>
      <c r="I39" s="502"/>
      <c r="J39" s="502"/>
      <c r="K39" s="503"/>
    </row>
    <row r="40" spans="2:13" s="4" customFormat="1" x14ac:dyDescent="0.3">
      <c r="B40" s="5" t="s">
        <v>37</v>
      </c>
      <c r="C40" s="501"/>
      <c r="D40" s="502"/>
      <c r="E40" s="502"/>
      <c r="F40" s="502"/>
      <c r="G40" s="502"/>
      <c r="H40" s="502"/>
      <c r="I40" s="502"/>
      <c r="J40" s="502"/>
      <c r="K40" s="503"/>
    </row>
    <row r="41" spans="2:13" s="4" customFormat="1" x14ac:dyDescent="0.3">
      <c r="B41" s="96" t="s">
        <v>36</v>
      </c>
      <c r="C41" s="501"/>
      <c r="D41" s="502"/>
      <c r="E41" s="502"/>
      <c r="F41" s="502"/>
      <c r="G41" s="502"/>
      <c r="H41" s="502"/>
      <c r="I41" s="502"/>
      <c r="J41" s="502"/>
      <c r="K41" s="503"/>
    </row>
    <row r="42" spans="2:13" s="4" customFormat="1" x14ac:dyDescent="0.3">
      <c r="B42" s="5" t="s">
        <v>37</v>
      </c>
      <c r="C42" s="501"/>
      <c r="D42" s="502"/>
      <c r="E42" s="502"/>
      <c r="F42" s="502"/>
      <c r="G42" s="502"/>
      <c r="H42" s="502"/>
      <c r="I42" s="502"/>
      <c r="J42" s="502"/>
      <c r="K42" s="503"/>
    </row>
    <row r="43" spans="2:13" s="4" customFormat="1" x14ac:dyDescent="0.3">
      <c r="B43" s="5" t="s">
        <v>37</v>
      </c>
      <c r="C43" s="501"/>
      <c r="D43" s="502"/>
      <c r="E43" s="502"/>
      <c r="F43" s="502"/>
      <c r="G43" s="502"/>
      <c r="H43" s="502"/>
      <c r="I43" s="502"/>
      <c r="J43" s="502"/>
      <c r="K43" s="503"/>
    </row>
    <row r="44" spans="2:13" s="4" customFormat="1" x14ac:dyDescent="0.3">
      <c r="B44" s="6" t="s">
        <v>34</v>
      </c>
      <c r="C44" s="501"/>
      <c r="D44" s="502"/>
      <c r="E44" s="502"/>
      <c r="F44" s="502"/>
      <c r="G44" s="502"/>
      <c r="H44" s="502"/>
      <c r="I44" s="502"/>
      <c r="J44" s="502"/>
      <c r="K44" s="503"/>
    </row>
    <row r="45" spans="2:13" s="4" customFormat="1" x14ac:dyDescent="0.3">
      <c r="B45" s="5" t="s">
        <v>37</v>
      </c>
      <c r="C45" s="501"/>
      <c r="D45" s="502"/>
      <c r="E45" s="502"/>
      <c r="F45" s="502"/>
      <c r="G45" s="502"/>
      <c r="H45" s="502"/>
      <c r="I45" s="502"/>
      <c r="J45" s="502"/>
      <c r="K45" s="503"/>
    </row>
    <row r="46" spans="2:13" s="4" customFormat="1" x14ac:dyDescent="0.3">
      <c r="B46" s="5" t="s">
        <v>37</v>
      </c>
      <c r="C46" s="501"/>
      <c r="D46" s="502"/>
      <c r="E46" s="502"/>
      <c r="F46" s="502"/>
      <c r="G46" s="502"/>
      <c r="H46" s="502"/>
      <c r="I46" s="502"/>
      <c r="J46" s="502"/>
      <c r="K46" s="503"/>
    </row>
    <row r="47" spans="2:13" s="4" customFormat="1" x14ac:dyDescent="0.3">
      <c r="B47" s="97"/>
      <c r="C47" s="501"/>
      <c r="D47" s="502"/>
      <c r="E47" s="502"/>
      <c r="F47" s="502"/>
      <c r="G47" s="502"/>
      <c r="H47" s="502"/>
      <c r="I47" s="502"/>
      <c r="J47" s="502"/>
      <c r="K47" s="503"/>
    </row>
    <row r="48" spans="2:13" s="4" customFormat="1" x14ac:dyDescent="0.3">
      <c r="B48" s="95" t="s">
        <v>507</v>
      </c>
      <c r="C48" s="501"/>
      <c r="D48" s="502"/>
      <c r="E48" s="502"/>
      <c r="F48" s="502"/>
      <c r="G48" s="502"/>
      <c r="H48" s="502"/>
      <c r="I48" s="502"/>
      <c r="J48" s="502"/>
      <c r="K48" s="503"/>
    </row>
    <row r="49" spans="2:11" s="4" customFormat="1" x14ac:dyDescent="0.3">
      <c r="B49" s="5" t="s">
        <v>37</v>
      </c>
      <c r="C49" s="501"/>
      <c r="D49" s="502"/>
      <c r="E49" s="502"/>
      <c r="F49" s="502"/>
      <c r="G49" s="502"/>
      <c r="H49" s="502"/>
      <c r="I49" s="502"/>
      <c r="J49" s="502"/>
      <c r="K49" s="503"/>
    </row>
    <row r="50" spans="2:11" s="4" customFormat="1" x14ac:dyDescent="0.3">
      <c r="B50" s="5" t="s">
        <v>37</v>
      </c>
      <c r="C50" s="501"/>
      <c r="D50" s="502"/>
      <c r="E50" s="502"/>
      <c r="F50" s="502"/>
      <c r="G50" s="502"/>
      <c r="H50" s="502"/>
      <c r="I50" s="502"/>
      <c r="J50" s="502"/>
      <c r="K50" s="503"/>
    </row>
    <row r="51" spans="2:11" s="4" customFormat="1" x14ac:dyDescent="0.3">
      <c r="B51" s="97"/>
      <c r="C51" s="501"/>
      <c r="D51" s="502"/>
      <c r="E51" s="502"/>
      <c r="F51" s="502"/>
      <c r="G51" s="502"/>
      <c r="H51" s="502"/>
      <c r="I51" s="502"/>
      <c r="J51" s="502"/>
      <c r="K51" s="503"/>
    </row>
    <row r="52" spans="2:11" x14ac:dyDescent="0.3">
      <c r="B52" s="3" t="s">
        <v>5</v>
      </c>
      <c r="C52" s="504"/>
      <c r="D52" s="505"/>
      <c r="E52" s="505"/>
      <c r="F52" s="505"/>
      <c r="G52" s="505"/>
      <c r="H52" s="505"/>
      <c r="I52" s="505"/>
      <c r="J52" s="505"/>
      <c r="K52" s="506"/>
    </row>
  </sheetData>
  <mergeCells count="30">
    <mergeCell ref="B5:T5"/>
    <mergeCell ref="B2:S2"/>
    <mergeCell ref="B3:T3"/>
    <mergeCell ref="B4:T4"/>
    <mergeCell ref="O9:S9"/>
    <mergeCell ref="H9:H10"/>
    <mergeCell ref="G9:G10"/>
    <mergeCell ref="F8:F10"/>
    <mergeCell ref="E8:E10"/>
    <mergeCell ref="M9:M10"/>
    <mergeCell ref="L9:L10"/>
    <mergeCell ref="K9:K10"/>
    <mergeCell ref="J9:J10"/>
    <mergeCell ref="I9:I10"/>
    <mergeCell ref="J8:L8"/>
    <mergeCell ref="M8:S8"/>
    <mergeCell ref="G8:I8"/>
    <mergeCell ref="N9:N10"/>
    <mergeCell ref="C8:C10"/>
    <mergeCell ref="B8:B10"/>
    <mergeCell ref="D8:D10"/>
    <mergeCell ref="C11:M26"/>
    <mergeCell ref="C36:K52"/>
    <mergeCell ref="B33:B35"/>
    <mergeCell ref="C33:K33"/>
    <mergeCell ref="C34:C35"/>
    <mergeCell ref="D34:D35"/>
    <mergeCell ref="E34:E35"/>
    <mergeCell ref="F34:F35"/>
    <mergeCell ref="G34:K34"/>
  </mergeCells>
  <pageMargins left="0.47244094488188981" right="0.19685039370078741" top="0.39370078740157483" bottom="0.35433070866141736" header="0.23622047244094491" footer="0.23622047244094491"/>
  <pageSetup paperSize="9" scale="41" fitToWidth="2" fitToHeight="0" orientation="landscape" r:id="rId1"/>
  <headerFooter alignWithMargins="0">
    <oddHeader>&amp;F</oddHeader>
  </headerFooter>
  <rowBreaks count="1" manualBreakCount="1">
    <brk id="28"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AR29"/>
  <sheetViews>
    <sheetView showGridLines="0" view="pageBreakPreview" zoomScale="70" zoomScaleNormal="80" zoomScaleSheetLayoutView="70" workbookViewId="0">
      <selection activeCell="C25" sqref="C25"/>
    </sheetView>
  </sheetViews>
  <sheetFormatPr defaultColWidth="9.1796875" defaultRowHeight="14" x14ac:dyDescent="0.3"/>
  <cols>
    <col min="1" max="1" width="4.54296875" style="1" customWidth="1"/>
    <col min="2" max="2" width="8.26953125" style="1" customWidth="1"/>
    <col min="3" max="3" width="46.453125" style="1" customWidth="1"/>
    <col min="4" max="12" width="19.26953125" style="1" customWidth="1"/>
    <col min="13" max="13" width="18.81640625" style="1" customWidth="1"/>
    <col min="14" max="16" width="15.54296875" style="1" customWidth="1"/>
    <col min="17" max="21" width="14.453125" style="1" customWidth="1"/>
    <col min="22" max="23" width="16.54296875" style="1" customWidth="1"/>
    <col min="24" max="26" width="14.453125" style="1" customWidth="1"/>
    <col min="27" max="27" width="17.26953125" style="1" customWidth="1"/>
    <col min="28" max="28" width="15.453125" style="1" customWidth="1"/>
    <col min="29" max="29" width="19.26953125" style="1" customWidth="1"/>
    <col min="30" max="30" width="14.7265625" style="1" bestFit="1" customWidth="1"/>
    <col min="31" max="34" width="15.7265625" style="1" customWidth="1"/>
    <col min="35" max="35" width="16.54296875" style="1" customWidth="1"/>
    <col min="36" max="37" width="16" style="1" customWidth="1"/>
    <col min="38" max="40" width="12.7265625" style="1" customWidth="1"/>
    <col min="41" max="41" width="15.26953125" style="1" customWidth="1"/>
    <col min="42" max="42" width="12.54296875" style="1" customWidth="1"/>
    <col min="43" max="43" width="13.453125" style="1" customWidth="1"/>
    <col min="44" max="44" width="13.54296875" style="1" customWidth="1"/>
    <col min="45" max="47" width="9.1796875" style="1"/>
    <col min="48" max="48" width="11.26953125" style="1" customWidth="1"/>
    <col min="49" max="16384" width="9.1796875" style="1"/>
  </cols>
  <sheetData>
    <row r="2" spans="2:44" x14ac:dyDescent="0.3">
      <c r="C2" s="239"/>
      <c r="D2" s="239"/>
      <c r="E2" s="239"/>
      <c r="F2" s="239"/>
      <c r="G2" s="239"/>
      <c r="H2" s="239"/>
      <c r="I2" s="239"/>
      <c r="J2" s="239"/>
      <c r="K2" s="239"/>
      <c r="L2" s="239"/>
      <c r="M2" s="239"/>
      <c r="N2" s="239"/>
      <c r="O2" s="239"/>
      <c r="P2" s="239"/>
      <c r="Q2" s="239"/>
      <c r="R2" s="239"/>
      <c r="S2" s="239"/>
      <c r="T2" s="240"/>
      <c r="U2" s="240"/>
      <c r="V2" s="240"/>
      <c r="W2" s="240"/>
    </row>
    <row r="3" spans="2:44" x14ac:dyDescent="0.3">
      <c r="B3" s="519" t="s">
        <v>628</v>
      </c>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19"/>
      <c r="AP3" s="519"/>
      <c r="AQ3" s="519"/>
      <c r="AR3" s="519"/>
    </row>
    <row r="4" spans="2:44" x14ac:dyDescent="0.3">
      <c r="B4" s="448" t="s">
        <v>570</v>
      </c>
      <c r="C4" s="448"/>
      <c r="D4" s="448"/>
      <c r="E4" s="448"/>
      <c r="F4" s="448"/>
      <c r="G4" s="448"/>
      <c r="H4" s="448"/>
      <c r="I4" s="448"/>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448"/>
      <c r="AO4" s="448"/>
      <c r="AP4" s="448"/>
      <c r="AQ4" s="448"/>
      <c r="AR4" s="448"/>
    </row>
    <row r="5" spans="2:44" x14ac:dyDescent="0.3">
      <c r="B5" s="518" t="s">
        <v>548</v>
      </c>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I5" s="518"/>
      <c r="AJ5" s="518"/>
      <c r="AK5" s="518"/>
      <c r="AL5" s="518"/>
      <c r="AM5" s="518"/>
      <c r="AN5" s="518"/>
      <c r="AO5" s="518"/>
      <c r="AP5" s="518"/>
      <c r="AQ5" s="518"/>
      <c r="AR5" s="518"/>
    </row>
    <row r="6" spans="2:44" x14ac:dyDescent="0.3">
      <c r="B6" s="518" t="s">
        <v>629</v>
      </c>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8"/>
      <c r="AM6" s="518"/>
      <c r="AN6" s="518"/>
      <c r="AO6" s="518"/>
      <c r="AP6" s="518"/>
      <c r="AQ6" s="518"/>
      <c r="AR6" s="518"/>
    </row>
    <row r="7" spans="2:44" x14ac:dyDescent="0.3">
      <c r="C7" s="16"/>
      <c r="D7" s="16"/>
      <c r="E7" s="16"/>
      <c r="F7" s="16"/>
      <c r="G7" s="16"/>
      <c r="H7" s="16"/>
      <c r="I7" s="16"/>
      <c r="J7" s="16"/>
      <c r="K7" s="16"/>
      <c r="L7" s="16"/>
      <c r="M7" s="19"/>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row>
    <row r="8" spans="2:44" ht="15" customHeight="1" x14ac:dyDescent="0.3">
      <c r="C8" s="19" t="s">
        <v>0</v>
      </c>
      <c r="D8" s="19"/>
      <c r="E8" s="19"/>
      <c r="F8" s="19"/>
      <c r="G8" s="19"/>
      <c r="H8" s="19"/>
      <c r="I8" s="19"/>
      <c r="J8" s="19"/>
      <c r="K8" s="19"/>
      <c r="L8" s="19"/>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row>
    <row r="9" spans="2:44" x14ac:dyDescent="0.3">
      <c r="C9" s="16"/>
      <c r="D9" s="16"/>
      <c r="E9" s="16"/>
      <c r="F9" s="16"/>
      <c r="G9" s="16"/>
      <c r="H9" s="16"/>
      <c r="I9" s="16"/>
      <c r="J9" s="16"/>
      <c r="K9" s="16"/>
      <c r="L9" s="16"/>
      <c r="M9" s="16"/>
      <c r="N9" s="12"/>
      <c r="O9" s="12"/>
      <c r="P9" s="12"/>
      <c r="Q9" s="12"/>
      <c r="R9" s="12"/>
      <c r="S9" s="12"/>
      <c r="T9" s="12"/>
      <c r="X9" s="12"/>
      <c r="Y9" s="12"/>
      <c r="Z9" s="12"/>
      <c r="AA9" s="12"/>
      <c r="AB9" s="12"/>
      <c r="AC9" s="10"/>
      <c r="AD9" s="10"/>
      <c r="AE9" s="12"/>
      <c r="AG9" s="12"/>
      <c r="AH9" s="12"/>
      <c r="AI9" s="241"/>
      <c r="AJ9" s="241"/>
      <c r="AK9" s="10" t="s">
        <v>16</v>
      </c>
      <c r="AL9" s="10"/>
      <c r="AM9" s="10"/>
      <c r="AN9" s="10"/>
      <c r="AO9" s="12"/>
      <c r="AP9" s="12"/>
      <c r="AQ9" s="12"/>
    </row>
    <row r="10" spans="2:44" ht="15" customHeight="1" x14ac:dyDescent="0.3">
      <c r="B10" s="473" t="s">
        <v>351</v>
      </c>
      <c r="C10" s="473" t="s">
        <v>26</v>
      </c>
      <c r="D10" s="473" t="s">
        <v>1</v>
      </c>
      <c r="E10" s="473" t="s">
        <v>489</v>
      </c>
      <c r="F10" s="473" t="s">
        <v>490</v>
      </c>
      <c r="G10" s="473" t="s">
        <v>495</v>
      </c>
      <c r="H10" s="473" t="s">
        <v>29</v>
      </c>
      <c r="I10" s="473" t="s">
        <v>535</v>
      </c>
      <c r="J10" s="473" t="s">
        <v>496</v>
      </c>
      <c r="K10" s="473" t="s">
        <v>497</v>
      </c>
      <c r="L10" s="473" t="s">
        <v>498</v>
      </c>
      <c r="M10" s="473" t="s">
        <v>499</v>
      </c>
      <c r="N10" s="473" t="s">
        <v>27</v>
      </c>
      <c r="O10" s="525" t="s">
        <v>32</v>
      </c>
      <c r="P10" s="526"/>
      <c r="Q10" s="526"/>
      <c r="R10" s="526"/>
      <c r="S10" s="526"/>
      <c r="T10" s="526"/>
      <c r="U10" s="526"/>
      <c r="V10" s="514" t="s">
        <v>30</v>
      </c>
      <c r="W10" s="515"/>
      <c r="X10" s="515"/>
      <c r="Y10" s="515"/>
      <c r="Z10" s="515"/>
      <c r="AA10" s="515"/>
      <c r="AB10" s="515"/>
      <c r="AC10" s="514" t="s">
        <v>28</v>
      </c>
      <c r="AD10" s="515"/>
      <c r="AE10" s="515"/>
      <c r="AF10" s="515"/>
      <c r="AG10" s="515"/>
      <c r="AH10" s="515"/>
      <c r="AI10" s="515"/>
      <c r="AJ10" s="463" t="s">
        <v>420</v>
      </c>
      <c r="AK10" s="463"/>
    </row>
    <row r="11" spans="2:44" ht="24.75" customHeight="1" x14ac:dyDescent="0.3">
      <c r="B11" s="517"/>
      <c r="C11" s="517"/>
      <c r="D11" s="517"/>
      <c r="E11" s="517"/>
      <c r="F11" s="517"/>
      <c r="G11" s="517"/>
      <c r="H11" s="517"/>
      <c r="I11" s="517"/>
      <c r="J11" s="517"/>
      <c r="K11" s="517"/>
      <c r="L11" s="517"/>
      <c r="M11" s="517"/>
      <c r="N11" s="517"/>
      <c r="O11" s="473" t="s">
        <v>603</v>
      </c>
      <c r="P11" s="246" t="s">
        <v>12</v>
      </c>
      <c r="Q11" s="236" t="s">
        <v>12</v>
      </c>
      <c r="R11" s="287" t="s">
        <v>12</v>
      </c>
      <c r="S11" s="236" t="s">
        <v>22</v>
      </c>
      <c r="T11" s="514" t="s">
        <v>604</v>
      </c>
      <c r="U11" s="516"/>
      <c r="V11" s="473" t="s">
        <v>605</v>
      </c>
      <c r="W11" s="287" t="s">
        <v>12</v>
      </c>
      <c r="X11" s="287" t="s">
        <v>12</v>
      </c>
      <c r="Y11" s="287" t="s">
        <v>12</v>
      </c>
      <c r="Z11" s="287" t="s">
        <v>22</v>
      </c>
      <c r="AA11" s="514" t="s">
        <v>604</v>
      </c>
      <c r="AB11" s="516"/>
      <c r="AC11" s="473" t="s">
        <v>606</v>
      </c>
      <c r="AD11" s="287" t="s">
        <v>12</v>
      </c>
      <c r="AE11" s="287" t="s">
        <v>12</v>
      </c>
      <c r="AF11" s="287" t="s">
        <v>12</v>
      </c>
      <c r="AG11" s="287" t="s">
        <v>22</v>
      </c>
      <c r="AH11" s="514" t="s">
        <v>604</v>
      </c>
      <c r="AI11" s="516"/>
      <c r="AJ11" s="473" t="s">
        <v>564</v>
      </c>
      <c r="AK11" s="523" t="s">
        <v>566</v>
      </c>
    </row>
    <row r="12" spans="2:44" x14ac:dyDescent="0.3">
      <c r="B12" s="474"/>
      <c r="C12" s="474"/>
      <c r="D12" s="474"/>
      <c r="E12" s="474"/>
      <c r="F12" s="474"/>
      <c r="G12" s="474"/>
      <c r="H12" s="474"/>
      <c r="I12" s="474"/>
      <c r="J12" s="474"/>
      <c r="K12" s="474"/>
      <c r="L12" s="474"/>
      <c r="M12" s="474"/>
      <c r="N12" s="474"/>
      <c r="O12" s="474"/>
      <c r="P12" s="244" t="s">
        <v>334</v>
      </c>
      <c r="Q12" s="235" t="s">
        <v>503</v>
      </c>
      <c r="R12" s="285" t="s">
        <v>504</v>
      </c>
      <c r="S12" s="235" t="s">
        <v>505</v>
      </c>
      <c r="T12" s="244" t="s">
        <v>506</v>
      </c>
      <c r="U12" s="244" t="s">
        <v>507</v>
      </c>
      <c r="V12" s="474"/>
      <c r="W12" s="285" t="s">
        <v>334</v>
      </c>
      <c r="X12" s="285" t="s">
        <v>503</v>
      </c>
      <c r="Y12" s="285" t="s">
        <v>504</v>
      </c>
      <c r="Z12" s="285" t="s">
        <v>505</v>
      </c>
      <c r="AA12" s="285" t="s">
        <v>506</v>
      </c>
      <c r="AB12" s="285" t="s">
        <v>507</v>
      </c>
      <c r="AC12" s="474"/>
      <c r="AD12" s="285" t="s">
        <v>334</v>
      </c>
      <c r="AE12" s="285" t="s">
        <v>503</v>
      </c>
      <c r="AF12" s="285" t="s">
        <v>504</v>
      </c>
      <c r="AG12" s="285" t="s">
        <v>505</v>
      </c>
      <c r="AH12" s="285" t="s">
        <v>506</v>
      </c>
      <c r="AI12" s="285" t="s">
        <v>507</v>
      </c>
      <c r="AJ12" s="474"/>
      <c r="AK12" s="524"/>
    </row>
    <row r="13" spans="2:44" s="4" customFormat="1" x14ac:dyDescent="0.3">
      <c r="B13" s="6"/>
      <c r="C13" s="95" t="s">
        <v>507</v>
      </c>
      <c r="D13" s="498" t="s">
        <v>652</v>
      </c>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500"/>
    </row>
    <row r="14" spans="2:44" s="4" customFormat="1" x14ac:dyDescent="0.3">
      <c r="B14" s="6"/>
      <c r="C14" s="95" t="s">
        <v>33</v>
      </c>
      <c r="D14" s="501"/>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3"/>
    </row>
    <row r="15" spans="2:44" s="4" customFormat="1" x14ac:dyDescent="0.3">
      <c r="B15" s="6"/>
      <c r="C15" s="96" t="s">
        <v>35</v>
      </c>
      <c r="D15" s="501"/>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3"/>
    </row>
    <row r="16" spans="2:44" s="4" customFormat="1" x14ac:dyDescent="0.3">
      <c r="B16" s="6"/>
      <c r="C16" s="5" t="s">
        <v>37</v>
      </c>
      <c r="D16" s="501"/>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3"/>
    </row>
    <row r="17" spans="2:37" s="4" customFormat="1" x14ac:dyDescent="0.3">
      <c r="B17" s="6"/>
      <c r="C17" s="5" t="s">
        <v>37</v>
      </c>
      <c r="D17" s="501"/>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503"/>
    </row>
    <row r="18" spans="2:37" s="4" customFormat="1" x14ac:dyDescent="0.3">
      <c r="B18" s="6"/>
      <c r="C18" s="96" t="s">
        <v>36</v>
      </c>
      <c r="D18" s="501"/>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3"/>
    </row>
    <row r="19" spans="2:37" s="4" customFormat="1" x14ac:dyDescent="0.3">
      <c r="B19" s="6"/>
      <c r="C19" s="5" t="s">
        <v>37</v>
      </c>
      <c r="D19" s="501"/>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3"/>
    </row>
    <row r="20" spans="2:37" s="4" customFormat="1" x14ac:dyDescent="0.3">
      <c r="B20" s="6"/>
      <c r="C20" s="5" t="s">
        <v>37</v>
      </c>
      <c r="D20" s="501"/>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503"/>
    </row>
    <row r="21" spans="2:37" s="4" customFormat="1" x14ac:dyDescent="0.3">
      <c r="B21" s="6"/>
      <c r="C21" s="6" t="s">
        <v>34</v>
      </c>
      <c r="D21" s="501"/>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2:37" s="4" customFormat="1" x14ac:dyDescent="0.3">
      <c r="B22" s="6"/>
      <c r="C22" s="5" t="s">
        <v>37</v>
      </c>
      <c r="D22" s="501"/>
      <c r="E22" s="502"/>
      <c r="F22" s="502"/>
      <c r="G22" s="502"/>
      <c r="H22" s="502"/>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503"/>
    </row>
    <row r="23" spans="2:37" s="4" customFormat="1" x14ac:dyDescent="0.3">
      <c r="B23" s="6"/>
      <c r="C23" s="5" t="s">
        <v>37</v>
      </c>
      <c r="D23" s="501"/>
      <c r="E23" s="502"/>
      <c r="F23" s="502"/>
      <c r="G23" s="502"/>
      <c r="H23" s="502"/>
      <c r="I23" s="502"/>
      <c r="J23" s="502"/>
      <c r="K23" s="502"/>
      <c r="L23" s="502"/>
      <c r="M23" s="502"/>
      <c r="N23" s="502"/>
      <c r="O23" s="502"/>
      <c r="P23" s="502"/>
      <c r="Q23" s="502"/>
      <c r="R23" s="502"/>
      <c r="S23" s="502"/>
      <c r="T23" s="502"/>
      <c r="U23" s="502"/>
      <c r="V23" s="502"/>
      <c r="W23" s="502"/>
      <c r="X23" s="502"/>
      <c r="Y23" s="502"/>
      <c r="Z23" s="502"/>
      <c r="AA23" s="502"/>
      <c r="AB23" s="502"/>
      <c r="AC23" s="502"/>
      <c r="AD23" s="502"/>
      <c r="AE23" s="502"/>
      <c r="AF23" s="502"/>
      <c r="AG23" s="502"/>
      <c r="AH23" s="502"/>
      <c r="AI23" s="502"/>
      <c r="AJ23" s="502"/>
      <c r="AK23" s="503"/>
    </row>
    <row r="24" spans="2:37" s="4" customFormat="1" x14ac:dyDescent="0.3">
      <c r="B24" s="6"/>
      <c r="C24" s="97"/>
      <c r="D24" s="501"/>
      <c r="E24" s="502"/>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3"/>
    </row>
    <row r="25" spans="2:37" s="4" customFormat="1" x14ac:dyDescent="0.3">
      <c r="B25" s="6"/>
      <c r="C25" s="95" t="s">
        <v>653</v>
      </c>
      <c r="D25" s="501"/>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3"/>
    </row>
    <row r="26" spans="2:37" s="4" customFormat="1" x14ac:dyDescent="0.3">
      <c r="B26" s="6"/>
      <c r="C26" s="5" t="s">
        <v>37</v>
      </c>
      <c r="D26" s="501"/>
      <c r="E26" s="502"/>
      <c r="F26" s="502"/>
      <c r="G26" s="502"/>
      <c r="H26" s="502"/>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3"/>
    </row>
    <row r="27" spans="2:37" s="4" customFormat="1" x14ac:dyDescent="0.3">
      <c r="B27" s="6"/>
      <c r="C27" s="5" t="s">
        <v>37</v>
      </c>
      <c r="D27" s="501"/>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3"/>
    </row>
    <row r="28" spans="2:37" s="4" customFormat="1" x14ac:dyDescent="0.3">
      <c r="B28" s="6"/>
      <c r="C28" s="97"/>
      <c r="D28" s="501"/>
      <c r="E28" s="502"/>
      <c r="F28" s="502"/>
      <c r="G28" s="502"/>
      <c r="H28" s="502"/>
      <c r="I28" s="502"/>
      <c r="J28" s="502"/>
      <c r="K28" s="502"/>
      <c r="L28" s="502"/>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3"/>
    </row>
    <row r="29" spans="2:37" x14ac:dyDescent="0.3">
      <c r="B29" s="2"/>
      <c r="C29" s="242" t="s">
        <v>5</v>
      </c>
      <c r="D29" s="504"/>
      <c r="E29" s="505"/>
      <c r="F29" s="505"/>
      <c r="G29" s="505"/>
      <c r="H29" s="505"/>
      <c r="I29" s="505"/>
      <c r="J29" s="505"/>
      <c r="K29" s="505"/>
      <c r="L29" s="505"/>
      <c r="M29" s="505"/>
      <c r="N29" s="505"/>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6"/>
    </row>
  </sheetData>
  <mergeCells count="30">
    <mergeCell ref="B3:AR3"/>
    <mergeCell ref="B4:AR4"/>
    <mergeCell ref="B5:AR5"/>
    <mergeCell ref="B6:AR6"/>
    <mergeCell ref="AJ10:AK10"/>
    <mergeCell ref="N10:N12"/>
    <mergeCell ref="B10:B12"/>
    <mergeCell ref="C10:C12"/>
    <mergeCell ref="D10:D12"/>
    <mergeCell ref="E10:E12"/>
    <mergeCell ref="F10:F12"/>
    <mergeCell ref="G10:G12"/>
    <mergeCell ref="H10:H12"/>
    <mergeCell ref="J10:J12"/>
    <mergeCell ref="K10:K12"/>
    <mergeCell ref="L10:L12"/>
    <mergeCell ref="M10:M12"/>
    <mergeCell ref="I10:I12"/>
    <mergeCell ref="D13:AK29"/>
    <mergeCell ref="AJ11:AJ12"/>
    <mergeCell ref="AK11:AK12"/>
    <mergeCell ref="O10:U10"/>
    <mergeCell ref="V10:AB10"/>
    <mergeCell ref="AC10:AI10"/>
    <mergeCell ref="O11:O12"/>
    <mergeCell ref="V11:V12"/>
    <mergeCell ref="AC11:AC12"/>
    <mergeCell ref="T11:U11"/>
    <mergeCell ref="AA11:AB11"/>
    <mergeCell ref="AH11:AI11"/>
  </mergeCells>
  <printOptions verticalCentered="1"/>
  <pageMargins left="0" right="0" top="0.25" bottom="0.25" header="0.25" footer="0.25"/>
  <pageSetup paperSize="9" scale="20" orientation="landscape" r:id="rId1"/>
  <headerFooter alignWithMargins="0">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24"/>
  <sheetViews>
    <sheetView showGridLines="0" tabSelected="1" zoomScale="63" zoomScaleNormal="80" zoomScaleSheetLayoutView="80" workbookViewId="0">
      <selection activeCell="E14" sqref="E14"/>
    </sheetView>
  </sheetViews>
  <sheetFormatPr defaultColWidth="9.1796875" defaultRowHeight="14" x14ac:dyDescent="0.25"/>
  <cols>
    <col min="1" max="1" width="6.81640625" style="24" customWidth="1"/>
    <col min="2" max="2" width="6.1796875" style="24" customWidth="1"/>
    <col min="3" max="3" width="35.90625" style="24" bestFit="1" customWidth="1"/>
    <col min="4" max="4" width="12.54296875" style="101" customWidth="1"/>
    <col min="5" max="5" width="15.7265625" style="24" customWidth="1"/>
    <col min="6" max="10" width="16.26953125" style="24" customWidth="1"/>
    <col min="11" max="11" width="15.7265625" style="24" customWidth="1"/>
    <col min="12" max="16384" width="9.1796875" style="24"/>
  </cols>
  <sheetData>
    <row r="2" spans="2:11" x14ac:dyDescent="0.25">
      <c r="B2" s="447" t="s">
        <v>628</v>
      </c>
      <c r="C2" s="439"/>
      <c r="D2" s="439"/>
      <c r="E2" s="439"/>
      <c r="F2" s="439"/>
      <c r="G2" s="439"/>
      <c r="H2" s="439"/>
      <c r="I2" s="439"/>
      <c r="J2" s="439"/>
      <c r="K2" s="439"/>
    </row>
    <row r="3" spans="2:11" s="9" customFormat="1" x14ac:dyDescent="0.3">
      <c r="B3" s="448" t="s">
        <v>570</v>
      </c>
      <c r="C3" s="439"/>
      <c r="D3" s="439"/>
      <c r="E3" s="439"/>
      <c r="F3" s="439"/>
      <c r="G3" s="439"/>
      <c r="H3" s="439"/>
      <c r="I3" s="439"/>
      <c r="J3" s="439"/>
      <c r="K3" s="439"/>
    </row>
    <row r="4" spans="2:11" s="9" customFormat="1" x14ac:dyDescent="0.3">
      <c r="B4" s="448" t="s">
        <v>91</v>
      </c>
      <c r="C4" s="439"/>
      <c r="D4" s="439"/>
      <c r="E4" s="439"/>
      <c r="F4" s="439"/>
      <c r="G4" s="439"/>
      <c r="H4" s="439"/>
      <c r="I4" s="439"/>
      <c r="J4" s="439"/>
      <c r="K4" s="439"/>
    </row>
    <row r="5" spans="2:11" x14ac:dyDescent="0.25">
      <c r="B5" s="448" t="s">
        <v>629</v>
      </c>
      <c r="C5" s="439"/>
      <c r="D5" s="439"/>
      <c r="E5" s="439"/>
      <c r="F5" s="439"/>
      <c r="G5" s="439"/>
      <c r="H5" s="439"/>
      <c r="I5" s="439"/>
      <c r="J5" s="439"/>
      <c r="K5" s="439"/>
    </row>
    <row r="6" spans="2:11" x14ac:dyDescent="0.25">
      <c r="J6" s="24" t="s">
        <v>449</v>
      </c>
    </row>
    <row r="7" spans="2:11" ht="12.75" customHeight="1" x14ac:dyDescent="0.25">
      <c r="B7" s="449" t="s">
        <v>351</v>
      </c>
      <c r="C7" s="451" t="s">
        <v>49</v>
      </c>
      <c r="D7" s="451" t="s">
        <v>10</v>
      </c>
      <c r="E7" s="296" t="s">
        <v>507</v>
      </c>
      <c r="F7" s="296" t="s">
        <v>653</v>
      </c>
      <c r="G7" s="298" t="s">
        <v>659</v>
      </c>
      <c r="H7" s="298" t="s">
        <v>660</v>
      </c>
      <c r="I7" s="298" t="s">
        <v>661</v>
      </c>
      <c r="J7" s="298" t="s">
        <v>662</v>
      </c>
      <c r="K7" s="452" t="s">
        <v>40</v>
      </c>
    </row>
    <row r="8" spans="2:11" x14ac:dyDescent="0.25">
      <c r="B8" s="450"/>
      <c r="C8" s="451"/>
      <c r="D8" s="451"/>
      <c r="E8" s="285" t="s">
        <v>663</v>
      </c>
      <c r="F8" s="384" t="s">
        <v>663</v>
      </c>
      <c r="G8" s="384" t="s">
        <v>663</v>
      </c>
      <c r="H8" s="384" t="s">
        <v>663</v>
      </c>
      <c r="I8" s="384" t="s">
        <v>663</v>
      </c>
      <c r="J8" s="384" t="s">
        <v>663</v>
      </c>
      <c r="K8" s="452"/>
    </row>
    <row r="9" spans="2:11" x14ac:dyDescent="0.25">
      <c r="B9" s="102">
        <v>1</v>
      </c>
      <c r="C9" s="121" t="s">
        <v>94</v>
      </c>
      <c r="D9" s="303" t="s">
        <v>68</v>
      </c>
      <c r="E9" s="331">
        <f>'F2.2'!E121</f>
        <v>259.23226847923007</v>
      </c>
      <c r="F9" s="331">
        <f>'F2.2'!F121</f>
        <v>1947.5468231690418</v>
      </c>
      <c r="G9" s="331">
        <f>'F2.2'!G121</f>
        <v>2016.9129905546683</v>
      </c>
      <c r="H9" s="331">
        <f>'F2.2'!H121</f>
        <v>2095.1112450468172</v>
      </c>
      <c r="I9" s="331">
        <f>'F2.2'!I121</f>
        <v>2166.2403185453541</v>
      </c>
      <c r="J9" s="331">
        <f>'F2.2'!J121</f>
        <v>2246.1227953590046</v>
      </c>
      <c r="K9" s="32"/>
    </row>
    <row r="10" spans="2:11" x14ac:dyDescent="0.25">
      <c r="B10" s="102">
        <f>B9+1</f>
        <v>2</v>
      </c>
      <c r="C10" s="121" t="s">
        <v>685</v>
      </c>
      <c r="D10" s="303"/>
      <c r="E10" s="331">
        <f>'F2.2'!E161</f>
        <v>0</v>
      </c>
      <c r="F10" s="331">
        <f>'F2.2'!F161</f>
        <v>20.871375823499033</v>
      </c>
      <c r="G10" s="331">
        <f>'F2.2'!G161</f>
        <v>27.803110129843603</v>
      </c>
      <c r="H10" s="331">
        <f>'F2.2'!H161</f>
        <v>27.87928303430893</v>
      </c>
      <c r="I10" s="331">
        <f>'F2.2'!I161</f>
        <v>27.803110129843603</v>
      </c>
      <c r="J10" s="331">
        <f>'F2.2'!J161</f>
        <v>27.803110129843603</v>
      </c>
      <c r="K10" s="32"/>
    </row>
    <row r="11" spans="2:11" x14ac:dyDescent="0.25">
      <c r="B11" s="102">
        <f t="shared" ref="B11:B22" si="0">B10+1</f>
        <v>3</v>
      </c>
      <c r="C11" s="121" t="s">
        <v>95</v>
      </c>
      <c r="D11" s="303" t="s">
        <v>52</v>
      </c>
      <c r="E11" s="332">
        <f>'F3'!E9</f>
        <v>18.736767123287667</v>
      </c>
      <c r="F11" s="332">
        <f>'F3'!F9</f>
        <v>159.786</v>
      </c>
      <c r="G11" s="332">
        <f>'F3'!G9</f>
        <v>166.71600000000001</v>
      </c>
      <c r="H11" s="332">
        <f>'F3'!H9</f>
        <v>173.976</v>
      </c>
      <c r="I11" s="332">
        <f>'F3'!I9</f>
        <v>181.5</v>
      </c>
      <c r="J11" s="332">
        <f>'F3'!J9</f>
        <v>188.69400000000002</v>
      </c>
      <c r="K11" s="32"/>
    </row>
    <row r="12" spans="2:11" x14ac:dyDescent="0.25">
      <c r="B12" s="102">
        <f t="shared" si="0"/>
        <v>4</v>
      </c>
      <c r="C12" s="121" t="s">
        <v>649</v>
      </c>
      <c r="D12" s="303"/>
      <c r="E12" s="332">
        <f>'F3'!E10</f>
        <v>0</v>
      </c>
      <c r="F12" s="332">
        <f>'F3'!F10</f>
        <v>12.661042896438355</v>
      </c>
      <c r="G12" s="332">
        <f>'F3'!G10</f>
        <v>17.596285071739999</v>
      </c>
      <c r="H12" s="332">
        <f>'F3'!H10</f>
        <v>18.358204215346337</v>
      </c>
      <c r="I12" s="332">
        <f>'F3'!I10</f>
        <v>19.153114457870835</v>
      </c>
      <c r="J12" s="332">
        <f>'F3'!J10</f>
        <v>19.982444313896639</v>
      </c>
      <c r="K12" s="32"/>
    </row>
    <row r="13" spans="2:11" x14ac:dyDescent="0.25">
      <c r="B13" s="102">
        <f t="shared" si="0"/>
        <v>5</v>
      </c>
      <c r="C13" s="122" t="s">
        <v>346</v>
      </c>
      <c r="D13" s="303" t="s">
        <v>83</v>
      </c>
      <c r="E13" s="331">
        <f>'F5'!E35-'F5'!F35</f>
        <v>51.4349898370943</v>
      </c>
      <c r="F13" s="331">
        <f>'F5'!J35-'F5'!K35</f>
        <v>318.19951339897324</v>
      </c>
      <c r="G13" s="331">
        <f>'F5'!O35-'F5'!P35</f>
        <v>318.19951339897324</v>
      </c>
      <c r="H13" s="331">
        <f>'F5'!T35-'F5'!U35</f>
        <v>318.19951339897324</v>
      </c>
      <c r="I13" s="331">
        <f>'F5'!Y35-'F5'!Z35</f>
        <v>318.19951339897324</v>
      </c>
      <c r="J13" s="331">
        <f>'F5'!AD35-'F5'!AE35</f>
        <v>318.19951339897324</v>
      </c>
      <c r="K13" s="32"/>
    </row>
    <row r="14" spans="2:11" x14ac:dyDescent="0.25">
      <c r="B14" s="102">
        <f t="shared" si="0"/>
        <v>6</v>
      </c>
      <c r="C14" s="121" t="s">
        <v>345</v>
      </c>
      <c r="D14" s="303" t="s">
        <v>84</v>
      </c>
      <c r="E14" s="331">
        <f>'F6'!D24</f>
        <v>70.957337397512589</v>
      </c>
      <c r="F14" s="331">
        <f>'F6'!E24</f>
        <v>424.33102602293758</v>
      </c>
      <c r="G14" s="331">
        <f>'F6'!F24</f>
        <v>395.04636111653855</v>
      </c>
      <c r="H14" s="331">
        <f>'F6'!G24</f>
        <v>365.76169621013946</v>
      </c>
      <c r="I14" s="331">
        <f>'F6'!H24</f>
        <v>336.47703130374043</v>
      </c>
      <c r="J14" s="331">
        <f>'F6'!I24</f>
        <v>307.19236639734135</v>
      </c>
      <c r="K14" s="32"/>
    </row>
    <row r="15" spans="2:11" x14ac:dyDescent="0.25">
      <c r="B15" s="102">
        <f t="shared" si="0"/>
        <v>7</v>
      </c>
      <c r="C15" s="122" t="s">
        <v>98</v>
      </c>
      <c r="D15" s="303" t="s">
        <v>369</v>
      </c>
      <c r="E15" s="331">
        <f ca="1">'F2.4'!E33</f>
        <v>11.308244433418855</v>
      </c>
      <c r="F15" s="331">
        <f ca="1">'F2.4'!F33</f>
        <v>72.064551644145112</v>
      </c>
      <c r="G15" s="331">
        <f ca="1">'F2.4'!G33</f>
        <v>74.290155006988428</v>
      </c>
      <c r="H15" s="331">
        <f ca="1">'F2.4'!H33</f>
        <v>76.481884381319574</v>
      </c>
      <c r="I15" s="331">
        <f ca="1">'F2.4'!I33</f>
        <v>78.459180777212524</v>
      </c>
      <c r="J15" s="331">
        <f ca="1">'F2.4'!J33</f>
        <v>80.700635373274878</v>
      </c>
      <c r="K15" s="32"/>
    </row>
    <row r="16" spans="2:11" x14ac:dyDescent="0.25">
      <c r="B16" s="102">
        <f t="shared" si="0"/>
        <v>8</v>
      </c>
      <c r="C16" s="122" t="s">
        <v>648</v>
      </c>
      <c r="D16" s="303"/>
      <c r="E16" s="331">
        <f>'F2.4'!E44</f>
        <v>0</v>
      </c>
      <c r="F16" s="331">
        <f>'F2.4'!F44</f>
        <v>1.2537052563494953</v>
      </c>
      <c r="G16" s="331">
        <f>'F2.4'!G44</f>
        <v>1.3959112416643917</v>
      </c>
      <c r="H16" s="331">
        <f>'F2.4'!H44</f>
        <v>1.4032005397468099</v>
      </c>
      <c r="I16" s="331">
        <f>'F2.4'!I44</f>
        <v>1.409468630901948</v>
      </c>
      <c r="J16" s="331">
        <f>'F2.4'!J44</f>
        <v>1.416690711731506</v>
      </c>
      <c r="K16" s="32"/>
    </row>
    <row r="17" spans="2:11" x14ac:dyDescent="0.25">
      <c r="B17" s="102">
        <f t="shared" si="0"/>
        <v>9</v>
      </c>
      <c r="C17" s="105" t="s">
        <v>99</v>
      </c>
      <c r="D17" s="303" t="s">
        <v>89</v>
      </c>
      <c r="E17" s="331">
        <f>'F10'!D22</f>
        <v>0</v>
      </c>
      <c r="F17" s="331">
        <f>'F10'!E22</f>
        <v>0</v>
      </c>
      <c r="G17" s="331">
        <f>'F10'!F22</f>
        <v>0</v>
      </c>
      <c r="H17" s="331">
        <f>'F10'!G22</f>
        <v>0</v>
      </c>
      <c r="I17" s="331">
        <f>'F10'!H22</f>
        <v>0</v>
      </c>
      <c r="J17" s="331">
        <f>'F10'!I22</f>
        <v>0</v>
      </c>
      <c r="K17" s="32"/>
    </row>
    <row r="18" spans="2:11" x14ac:dyDescent="0.25">
      <c r="B18" s="102">
        <f t="shared" si="0"/>
        <v>10</v>
      </c>
      <c r="C18" s="32" t="s">
        <v>100</v>
      </c>
      <c r="D18" s="303" t="s">
        <v>332</v>
      </c>
      <c r="E18" s="333">
        <v>0</v>
      </c>
      <c r="F18" s="333">
        <v>0</v>
      </c>
      <c r="G18" s="333">
        <v>0</v>
      </c>
      <c r="H18" s="333">
        <v>0</v>
      </c>
      <c r="I18" s="333">
        <v>0</v>
      </c>
      <c r="J18" s="333">
        <v>0</v>
      </c>
      <c r="K18" s="121"/>
    </row>
    <row r="19" spans="2:11" x14ac:dyDescent="0.25">
      <c r="B19" s="102">
        <f t="shared" si="0"/>
        <v>11</v>
      </c>
      <c r="C19" s="35" t="s">
        <v>101</v>
      </c>
      <c r="D19" s="228"/>
      <c r="E19" s="302">
        <f ca="1">SUM(E9:E18)</f>
        <v>411.66960727054345</v>
      </c>
      <c r="F19" s="302">
        <f ca="1">SUM(F9:F18)</f>
        <v>2956.7140382113839</v>
      </c>
      <c r="G19" s="302">
        <f t="shared" ref="G19:J19" ca="1" si="1">SUM(G9:G18)</f>
        <v>3017.9603265204164</v>
      </c>
      <c r="H19" s="302">
        <f t="shared" ca="1" si="1"/>
        <v>3077.1710268266511</v>
      </c>
      <c r="I19" s="302">
        <f t="shared" ca="1" si="1"/>
        <v>3129.2417372438963</v>
      </c>
      <c r="J19" s="302">
        <f t="shared" ca="1" si="1"/>
        <v>3190.1115556840655</v>
      </c>
      <c r="K19" s="32"/>
    </row>
    <row r="20" spans="2:11" x14ac:dyDescent="0.25">
      <c r="B20" s="102">
        <f t="shared" si="0"/>
        <v>12</v>
      </c>
      <c r="C20" s="32" t="s">
        <v>102</v>
      </c>
      <c r="D20" s="303" t="s">
        <v>86</v>
      </c>
      <c r="E20" s="331">
        <f>'F7'!D18</f>
        <v>27.276130974216681</v>
      </c>
      <c r="F20" s="331">
        <f>'F7'!E18</f>
        <v>199.35033400318503</v>
      </c>
      <c r="G20" s="331">
        <f>'F7'!F18</f>
        <v>211.87898400318505</v>
      </c>
      <c r="H20" s="331">
        <f>'F7'!G18</f>
        <v>211.87898400318505</v>
      </c>
      <c r="I20" s="331">
        <f>'F7'!H18</f>
        <v>211.87898400318505</v>
      </c>
      <c r="J20" s="331">
        <f>'F7'!I18</f>
        <v>211.87898400318505</v>
      </c>
      <c r="K20" s="32"/>
    </row>
    <row r="21" spans="2:11" x14ac:dyDescent="0.25">
      <c r="B21" s="102">
        <f t="shared" si="0"/>
        <v>13</v>
      </c>
      <c r="C21" s="32" t="s">
        <v>103</v>
      </c>
      <c r="D21" s="303" t="s">
        <v>90</v>
      </c>
      <c r="E21" s="331">
        <f>'F11'!D23</f>
        <v>0</v>
      </c>
      <c r="F21" s="331">
        <f>'F11'!E23</f>
        <v>0</v>
      </c>
      <c r="G21" s="331">
        <f>'F11'!F23</f>
        <v>0</v>
      </c>
      <c r="H21" s="331">
        <f>'F11'!G23</f>
        <v>0</v>
      </c>
      <c r="I21" s="331">
        <f>'F11'!H23</f>
        <v>0</v>
      </c>
      <c r="J21" s="331">
        <f>'F11'!I23</f>
        <v>0</v>
      </c>
      <c r="K21" s="32"/>
    </row>
    <row r="22" spans="2:11" x14ac:dyDescent="0.25">
      <c r="B22" s="102">
        <f t="shared" si="0"/>
        <v>14</v>
      </c>
      <c r="C22" s="35" t="s">
        <v>104</v>
      </c>
      <c r="D22" s="250"/>
      <c r="E22" s="334">
        <f ca="1">E19+E20-E21</f>
        <v>438.94573824476015</v>
      </c>
      <c r="F22" s="334">
        <f ca="1">F19+F20-F21</f>
        <v>3156.0643722145687</v>
      </c>
      <c r="G22" s="334">
        <f t="shared" ref="G22:J22" ca="1" si="2">G19+G20-G21</f>
        <v>3229.8393105236014</v>
      </c>
      <c r="H22" s="334">
        <f t="shared" ca="1" si="2"/>
        <v>3289.0500108298361</v>
      </c>
      <c r="I22" s="334">
        <f t="shared" ca="1" si="2"/>
        <v>3341.1207212470813</v>
      </c>
      <c r="J22" s="334">
        <f t="shared" ca="1" si="2"/>
        <v>3401.9905396872505</v>
      </c>
      <c r="K22" s="32"/>
    </row>
    <row r="23" spans="2:11" x14ac:dyDescent="0.25">
      <c r="E23" s="369">
        <v>0</v>
      </c>
      <c r="F23" s="369">
        <v>0</v>
      </c>
      <c r="G23" s="369"/>
      <c r="H23" s="369"/>
      <c r="I23" s="369"/>
      <c r="J23" s="369"/>
    </row>
    <row r="24" spans="2:11" x14ac:dyDescent="0.25">
      <c r="E24" s="380"/>
      <c r="F24" s="380"/>
      <c r="G24" s="380"/>
      <c r="H24" s="380"/>
      <c r="I24" s="380"/>
      <c r="J24" s="380"/>
    </row>
  </sheetData>
  <mergeCells count="8">
    <mergeCell ref="B2:K2"/>
    <mergeCell ref="B3:K3"/>
    <mergeCell ref="B4:K4"/>
    <mergeCell ref="B7:B8"/>
    <mergeCell ref="C7:C8"/>
    <mergeCell ref="D7:D8"/>
    <mergeCell ref="K7:K8"/>
    <mergeCell ref="B5:K5"/>
  </mergeCells>
  <phoneticPr fontId="44" type="noConversion"/>
  <pageMargins left="0.23" right="0.23" top="0.92" bottom="1" header="0.5" footer="0.5"/>
  <pageSetup paperSize="9" scale="83"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O28"/>
  <sheetViews>
    <sheetView showGridLines="0" view="pageBreakPreview" zoomScale="60" zoomScaleNormal="80" workbookViewId="0">
      <selection activeCell="C25" sqref="C25"/>
    </sheetView>
  </sheetViews>
  <sheetFormatPr defaultColWidth="9.1796875" defaultRowHeight="14" x14ac:dyDescent="0.3"/>
  <cols>
    <col min="1" max="1" width="4.54296875" style="1" customWidth="1"/>
    <col min="2" max="2" width="8.26953125" style="1" customWidth="1"/>
    <col min="3" max="3" width="46.453125" style="1" customWidth="1"/>
    <col min="4" max="7" width="17.81640625" style="1" customWidth="1"/>
    <col min="8" max="8" width="16.7265625" style="1" customWidth="1"/>
    <col min="9" max="10" width="15.54296875" style="1" customWidth="1"/>
    <col min="11" max="11" width="15.26953125" style="1" customWidth="1"/>
    <col min="12" max="12" width="16.54296875" style="1" customWidth="1"/>
    <col min="13" max="13" width="17.1796875" style="1" customWidth="1"/>
    <col min="14" max="14" width="19" style="1" customWidth="1"/>
    <col min="15" max="15" width="13.26953125" style="1" customWidth="1"/>
    <col min="16" max="18" width="9.1796875" style="1"/>
    <col min="19" max="19" width="11.26953125" style="1" customWidth="1"/>
    <col min="20" max="16384" width="9.1796875" style="1"/>
  </cols>
  <sheetData>
    <row r="1" spans="2:15" ht="15.75" customHeight="1" x14ac:dyDescent="0.3"/>
    <row r="2" spans="2:15" ht="15" customHeight="1" x14ac:dyDescent="0.3">
      <c r="B2" s="519" t="s">
        <v>628</v>
      </c>
      <c r="C2" s="519"/>
      <c r="D2" s="519"/>
      <c r="E2" s="519"/>
      <c r="F2" s="519"/>
      <c r="G2" s="519"/>
      <c r="H2" s="519"/>
      <c r="I2" s="519"/>
      <c r="J2" s="519"/>
      <c r="K2" s="519"/>
      <c r="L2" s="519"/>
      <c r="M2" s="519"/>
      <c r="N2" s="519"/>
      <c r="O2" s="519"/>
    </row>
    <row r="3" spans="2:15" ht="15" customHeight="1" x14ac:dyDescent="0.3">
      <c r="B3" s="448" t="s">
        <v>570</v>
      </c>
      <c r="C3" s="448"/>
      <c r="D3" s="448"/>
      <c r="E3" s="448"/>
      <c r="F3" s="448"/>
      <c r="G3" s="448"/>
      <c r="H3" s="448"/>
      <c r="I3" s="448"/>
      <c r="J3" s="448"/>
      <c r="K3" s="448"/>
      <c r="L3" s="448"/>
      <c r="M3" s="448"/>
      <c r="N3" s="448"/>
      <c r="O3" s="448"/>
    </row>
    <row r="4" spans="2:15" ht="15" customHeight="1" x14ac:dyDescent="0.3">
      <c r="B4" s="518" t="s">
        <v>549</v>
      </c>
      <c r="C4" s="518"/>
      <c r="D4" s="518"/>
      <c r="E4" s="518"/>
      <c r="F4" s="518"/>
      <c r="G4" s="518"/>
      <c r="H4" s="518"/>
      <c r="I4" s="518"/>
      <c r="J4" s="518"/>
      <c r="K4" s="518"/>
      <c r="L4" s="518"/>
      <c r="M4" s="518"/>
      <c r="N4" s="518"/>
      <c r="O4" s="518"/>
    </row>
    <row r="5" spans="2:15" x14ac:dyDescent="0.3">
      <c r="B5" s="518" t="s">
        <v>629</v>
      </c>
      <c r="C5" s="518"/>
      <c r="D5" s="518"/>
      <c r="E5" s="518"/>
      <c r="F5" s="518"/>
      <c r="G5" s="518"/>
      <c r="H5" s="518"/>
      <c r="I5" s="518"/>
      <c r="J5" s="518"/>
      <c r="K5" s="518"/>
      <c r="L5" s="518"/>
      <c r="M5" s="518"/>
      <c r="N5" s="518"/>
      <c r="O5" s="518"/>
    </row>
    <row r="6" spans="2:15" x14ac:dyDescent="0.3">
      <c r="C6" s="16"/>
      <c r="D6" s="16"/>
      <c r="E6" s="16"/>
      <c r="F6" s="16"/>
      <c r="G6" s="16"/>
      <c r="H6" s="19"/>
      <c r="I6" s="12"/>
      <c r="J6" s="12"/>
      <c r="K6" s="12"/>
      <c r="L6" s="12"/>
      <c r="M6" s="12"/>
      <c r="N6" s="12"/>
      <c r="O6" s="12"/>
    </row>
    <row r="7" spans="2:15" ht="15.75" customHeight="1" x14ac:dyDescent="0.35">
      <c r="C7" s="17" t="s">
        <v>0</v>
      </c>
      <c r="D7" s="17"/>
      <c r="E7" s="17"/>
      <c r="F7" s="17"/>
      <c r="G7" s="17"/>
      <c r="I7" s="12"/>
      <c r="J7" s="12"/>
      <c r="K7" s="12"/>
      <c r="L7" s="12"/>
      <c r="M7" s="12"/>
      <c r="N7" s="12"/>
      <c r="O7" s="12"/>
    </row>
    <row r="8" spans="2:15" x14ac:dyDescent="0.3">
      <c r="C8" s="16"/>
      <c r="D8" s="16"/>
      <c r="E8" s="16"/>
      <c r="F8" s="16"/>
      <c r="G8" s="16"/>
      <c r="H8" s="16"/>
      <c r="I8" s="12"/>
      <c r="J8" s="12"/>
      <c r="K8" s="12"/>
      <c r="L8" s="12"/>
      <c r="M8" s="12"/>
      <c r="N8" s="10" t="s">
        <v>16</v>
      </c>
      <c r="O8" s="12"/>
    </row>
    <row r="9" spans="2:15" ht="15" customHeight="1" x14ac:dyDescent="0.3">
      <c r="B9" s="463" t="s">
        <v>351</v>
      </c>
      <c r="C9" s="463" t="s">
        <v>26</v>
      </c>
      <c r="D9" s="463" t="s">
        <v>489</v>
      </c>
      <c r="E9" s="463" t="s">
        <v>490</v>
      </c>
      <c r="F9" s="463" t="s">
        <v>63</v>
      </c>
      <c r="G9" s="463" t="s">
        <v>500</v>
      </c>
      <c r="H9" s="463" t="s">
        <v>501</v>
      </c>
      <c r="I9" s="463" t="s">
        <v>62</v>
      </c>
      <c r="J9" s="463" t="s">
        <v>61</v>
      </c>
      <c r="K9" s="463" t="s">
        <v>60</v>
      </c>
      <c r="L9" s="463"/>
      <c r="M9" s="463"/>
      <c r="N9" s="463"/>
      <c r="O9" s="463" t="s">
        <v>59</v>
      </c>
    </row>
    <row r="10" spans="2:15" ht="25.5" customHeight="1" x14ac:dyDescent="0.3">
      <c r="B10" s="463"/>
      <c r="C10" s="463"/>
      <c r="D10" s="463"/>
      <c r="E10" s="463"/>
      <c r="F10" s="463"/>
      <c r="G10" s="463"/>
      <c r="H10" s="463"/>
      <c r="I10" s="463"/>
      <c r="J10" s="463"/>
      <c r="K10" s="463"/>
      <c r="L10" s="463"/>
      <c r="M10" s="463"/>
      <c r="N10" s="463"/>
      <c r="O10" s="463"/>
    </row>
    <row r="11" spans="2:15" ht="28" x14ac:dyDescent="0.3">
      <c r="B11" s="463"/>
      <c r="C11" s="463"/>
      <c r="D11" s="463"/>
      <c r="E11" s="463"/>
      <c r="F11" s="463"/>
      <c r="G11" s="463"/>
      <c r="H11" s="463"/>
      <c r="I11" s="463"/>
      <c r="J11" s="463"/>
      <c r="K11" s="236" t="s">
        <v>58</v>
      </c>
      <c r="L11" s="236" t="s">
        <v>57</v>
      </c>
      <c r="M11" s="236" t="s">
        <v>56</v>
      </c>
      <c r="N11" s="236" t="s">
        <v>55</v>
      </c>
      <c r="O11" s="463"/>
    </row>
    <row r="12" spans="2:15" s="4" customFormat="1" x14ac:dyDescent="0.3">
      <c r="B12" s="6"/>
      <c r="C12" s="95" t="s">
        <v>507</v>
      </c>
      <c r="D12" s="498" t="s">
        <v>652</v>
      </c>
      <c r="E12" s="499"/>
      <c r="F12" s="499"/>
      <c r="G12" s="499"/>
      <c r="H12" s="499"/>
      <c r="I12" s="499"/>
      <c r="J12" s="499"/>
      <c r="K12" s="499"/>
      <c r="L12" s="499"/>
      <c r="M12" s="499"/>
      <c r="N12" s="499"/>
      <c r="O12" s="500"/>
    </row>
    <row r="13" spans="2:15" s="4" customFormat="1" x14ac:dyDescent="0.3">
      <c r="B13" s="6"/>
      <c r="C13" s="95" t="s">
        <v>33</v>
      </c>
      <c r="D13" s="501"/>
      <c r="E13" s="502"/>
      <c r="F13" s="502"/>
      <c r="G13" s="502"/>
      <c r="H13" s="502"/>
      <c r="I13" s="502"/>
      <c r="J13" s="502"/>
      <c r="K13" s="502"/>
      <c r="L13" s="502"/>
      <c r="M13" s="502"/>
      <c r="N13" s="502"/>
      <c r="O13" s="503"/>
    </row>
    <row r="14" spans="2:15" s="4" customFormat="1" x14ac:dyDescent="0.3">
      <c r="B14" s="6"/>
      <c r="C14" s="96" t="s">
        <v>35</v>
      </c>
      <c r="D14" s="501"/>
      <c r="E14" s="502"/>
      <c r="F14" s="502"/>
      <c r="G14" s="502"/>
      <c r="H14" s="502"/>
      <c r="I14" s="502"/>
      <c r="J14" s="502"/>
      <c r="K14" s="502"/>
      <c r="L14" s="502"/>
      <c r="M14" s="502"/>
      <c r="N14" s="502"/>
      <c r="O14" s="503"/>
    </row>
    <row r="15" spans="2:15" s="4" customFormat="1" x14ac:dyDescent="0.3">
      <c r="B15" s="6"/>
      <c r="C15" s="5" t="s">
        <v>37</v>
      </c>
      <c r="D15" s="501"/>
      <c r="E15" s="502"/>
      <c r="F15" s="502"/>
      <c r="G15" s="502"/>
      <c r="H15" s="502"/>
      <c r="I15" s="502"/>
      <c r="J15" s="502"/>
      <c r="K15" s="502"/>
      <c r="L15" s="502"/>
      <c r="M15" s="502"/>
      <c r="N15" s="502"/>
      <c r="O15" s="503"/>
    </row>
    <row r="16" spans="2:15" s="4" customFormat="1" x14ac:dyDescent="0.3">
      <c r="B16" s="6"/>
      <c r="C16" s="5" t="s">
        <v>37</v>
      </c>
      <c r="D16" s="501"/>
      <c r="E16" s="502"/>
      <c r="F16" s="502"/>
      <c r="G16" s="502"/>
      <c r="H16" s="502"/>
      <c r="I16" s="502"/>
      <c r="J16" s="502"/>
      <c r="K16" s="502"/>
      <c r="L16" s="502"/>
      <c r="M16" s="502"/>
      <c r="N16" s="502"/>
      <c r="O16" s="503"/>
    </row>
    <row r="17" spans="2:15" s="4" customFormat="1" x14ac:dyDescent="0.3">
      <c r="B17" s="6"/>
      <c r="C17" s="96" t="s">
        <v>36</v>
      </c>
      <c r="D17" s="501"/>
      <c r="E17" s="502"/>
      <c r="F17" s="502"/>
      <c r="G17" s="502"/>
      <c r="H17" s="502"/>
      <c r="I17" s="502"/>
      <c r="J17" s="502"/>
      <c r="K17" s="502"/>
      <c r="L17" s="502"/>
      <c r="M17" s="502"/>
      <c r="N17" s="502"/>
      <c r="O17" s="503"/>
    </row>
    <row r="18" spans="2:15" s="4" customFormat="1" x14ac:dyDescent="0.3">
      <c r="B18" s="6"/>
      <c r="C18" s="5" t="s">
        <v>37</v>
      </c>
      <c r="D18" s="501"/>
      <c r="E18" s="502"/>
      <c r="F18" s="502"/>
      <c r="G18" s="502"/>
      <c r="H18" s="502"/>
      <c r="I18" s="502"/>
      <c r="J18" s="502"/>
      <c r="K18" s="502"/>
      <c r="L18" s="502"/>
      <c r="M18" s="502"/>
      <c r="N18" s="502"/>
      <c r="O18" s="503"/>
    </row>
    <row r="19" spans="2:15" s="4" customFormat="1" x14ac:dyDescent="0.3">
      <c r="B19" s="6"/>
      <c r="C19" s="5" t="s">
        <v>37</v>
      </c>
      <c r="D19" s="501"/>
      <c r="E19" s="502"/>
      <c r="F19" s="502"/>
      <c r="G19" s="502"/>
      <c r="H19" s="502"/>
      <c r="I19" s="502"/>
      <c r="J19" s="502"/>
      <c r="K19" s="502"/>
      <c r="L19" s="502"/>
      <c r="M19" s="502"/>
      <c r="N19" s="502"/>
      <c r="O19" s="503"/>
    </row>
    <row r="20" spans="2:15" s="4" customFormat="1" x14ac:dyDescent="0.3">
      <c r="B20" s="6"/>
      <c r="C20" s="6" t="s">
        <v>34</v>
      </c>
      <c r="D20" s="501"/>
      <c r="E20" s="502"/>
      <c r="F20" s="502"/>
      <c r="G20" s="502"/>
      <c r="H20" s="502"/>
      <c r="I20" s="502"/>
      <c r="J20" s="502"/>
      <c r="K20" s="502"/>
      <c r="L20" s="502"/>
      <c r="M20" s="502"/>
      <c r="N20" s="502"/>
      <c r="O20" s="503"/>
    </row>
    <row r="21" spans="2:15" s="4" customFormat="1" x14ac:dyDescent="0.3">
      <c r="B21" s="6"/>
      <c r="C21" s="5" t="s">
        <v>37</v>
      </c>
      <c r="D21" s="501"/>
      <c r="E21" s="502"/>
      <c r="F21" s="502"/>
      <c r="G21" s="502"/>
      <c r="H21" s="502"/>
      <c r="I21" s="502"/>
      <c r="J21" s="502"/>
      <c r="K21" s="502"/>
      <c r="L21" s="502"/>
      <c r="M21" s="502"/>
      <c r="N21" s="502"/>
      <c r="O21" s="503"/>
    </row>
    <row r="22" spans="2:15" s="4" customFormat="1" x14ac:dyDescent="0.3">
      <c r="B22" s="6"/>
      <c r="C22" s="5" t="s">
        <v>37</v>
      </c>
      <c r="D22" s="501"/>
      <c r="E22" s="502"/>
      <c r="F22" s="502"/>
      <c r="G22" s="502"/>
      <c r="H22" s="502"/>
      <c r="I22" s="502"/>
      <c r="J22" s="502"/>
      <c r="K22" s="502"/>
      <c r="L22" s="502"/>
      <c r="M22" s="502"/>
      <c r="N22" s="502"/>
      <c r="O22" s="503"/>
    </row>
    <row r="23" spans="2:15" s="4" customFormat="1" x14ac:dyDescent="0.3">
      <c r="B23" s="6"/>
      <c r="C23" s="97"/>
      <c r="D23" s="501"/>
      <c r="E23" s="502"/>
      <c r="F23" s="502"/>
      <c r="G23" s="502"/>
      <c r="H23" s="502"/>
      <c r="I23" s="502"/>
      <c r="J23" s="502"/>
      <c r="K23" s="502"/>
      <c r="L23" s="502"/>
      <c r="M23" s="502"/>
      <c r="N23" s="502"/>
      <c r="O23" s="503"/>
    </row>
    <row r="24" spans="2:15" s="4" customFormat="1" x14ac:dyDescent="0.3">
      <c r="B24" s="6"/>
      <c r="C24" s="95" t="s">
        <v>653</v>
      </c>
      <c r="D24" s="501"/>
      <c r="E24" s="502"/>
      <c r="F24" s="502"/>
      <c r="G24" s="502"/>
      <c r="H24" s="502"/>
      <c r="I24" s="502"/>
      <c r="J24" s="502"/>
      <c r="K24" s="502"/>
      <c r="L24" s="502"/>
      <c r="M24" s="502"/>
      <c r="N24" s="502"/>
      <c r="O24" s="503"/>
    </row>
    <row r="25" spans="2:15" s="4" customFormat="1" x14ac:dyDescent="0.3">
      <c r="B25" s="6"/>
      <c r="C25" s="5" t="s">
        <v>37</v>
      </c>
      <c r="D25" s="501"/>
      <c r="E25" s="502"/>
      <c r="F25" s="502"/>
      <c r="G25" s="502"/>
      <c r="H25" s="502"/>
      <c r="I25" s="502"/>
      <c r="J25" s="502"/>
      <c r="K25" s="502"/>
      <c r="L25" s="502"/>
      <c r="M25" s="502"/>
      <c r="N25" s="502"/>
      <c r="O25" s="503"/>
    </row>
    <row r="26" spans="2:15" s="4" customFormat="1" x14ac:dyDescent="0.3">
      <c r="B26" s="6"/>
      <c r="C26" s="5" t="s">
        <v>37</v>
      </c>
      <c r="D26" s="501"/>
      <c r="E26" s="502"/>
      <c r="F26" s="502"/>
      <c r="G26" s="502"/>
      <c r="H26" s="502"/>
      <c r="I26" s="502"/>
      <c r="J26" s="502"/>
      <c r="K26" s="502"/>
      <c r="L26" s="502"/>
      <c r="M26" s="502"/>
      <c r="N26" s="502"/>
      <c r="O26" s="503"/>
    </row>
    <row r="27" spans="2:15" s="4" customFormat="1" x14ac:dyDescent="0.3">
      <c r="B27" s="6"/>
      <c r="C27" s="97"/>
      <c r="D27" s="501"/>
      <c r="E27" s="502"/>
      <c r="F27" s="502"/>
      <c r="G27" s="502"/>
      <c r="H27" s="502"/>
      <c r="I27" s="502"/>
      <c r="J27" s="502"/>
      <c r="K27" s="502"/>
      <c r="L27" s="502"/>
      <c r="M27" s="502"/>
      <c r="N27" s="502"/>
      <c r="O27" s="503"/>
    </row>
    <row r="28" spans="2:15" x14ac:dyDescent="0.3">
      <c r="B28" s="2"/>
      <c r="C28" s="3" t="s">
        <v>5</v>
      </c>
      <c r="D28" s="504"/>
      <c r="E28" s="505"/>
      <c r="F28" s="505"/>
      <c r="G28" s="505"/>
      <c r="H28" s="505"/>
      <c r="I28" s="505"/>
      <c r="J28" s="505"/>
      <c r="K28" s="505"/>
      <c r="L28" s="505"/>
      <c r="M28" s="505"/>
      <c r="N28" s="505"/>
      <c r="O28" s="506"/>
    </row>
  </sheetData>
  <mergeCells count="16">
    <mergeCell ref="D12:O28"/>
    <mergeCell ref="B2:O2"/>
    <mergeCell ref="B3:O3"/>
    <mergeCell ref="B4:O4"/>
    <mergeCell ref="B5:O5"/>
    <mergeCell ref="B9:B11"/>
    <mergeCell ref="C9:C11"/>
    <mergeCell ref="D9:D11"/>
    <mergeCell ref="E9:E11"/>
    <mergeCell ref="F9:F11"/>
    <mergeCell ref="G9:G11"/>
    <mergeCell ref="H9:H11"/>
    <mergeCell ref="I9:I11"/>
    <mergeCell ref="J9:J11"/>
    <mergeCell ref="K9:N10"/>
    <mergeCell ref="O9:O11"/>
  </mergeCells>
  <printOptions verticalCentered="1"/>
  <pageMargins left="0" right="0" top="0.23622047244094491" bottom="0.23622047244094491" header="0.23622047244094491" footer="0.23622047244094491"/>
  <pageSetup paperSize="9" scale="56" orientation="landscape" r:id="rId1"/>
  <headerFooter alignWithMargins="0">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G50"/>
  <sheetViews>
    <sheetView showGridLines="0" topLeftCell="A8" zoomScale="51" zoomScaleNormal="68" workbookViewId="0">
      <selection activeCell="E29" sqref="E29"/>
    </sheetView>
  </sheetViews>
  <sheetFormatPr defaultColWidth="9.1796875" defaultRowHeight="14" x14ac:dyDescent="0.3"/>
  <cols>
    <col min="1" max="1" width="4.1796875" style="9" customWidth="1"/>
    <col min="2" max="2" width="6.26953125" style="9" customWidth="1"/>
    <col min="3" max="3" width="36.1796875" style="9" customWidth="1"/>
    <col min="4" max="13" width="18.26953125" style="9" customWidth="1"/>
    <col min="14" max="17" width="18.7265625" style="9" customWidth="1"/>
    <col min="18" max="18" width="15.26953125" style="9" bestFit="1" customWidth="1"/>
    <col min="19" max="19" width="16.6328125" style="9" bestFit="1" customWidth="1"/>
    <col min="20" max="20" width="17" style="9" bestFit="1" customWidth="1"/>
    <col min="21" max="21" width="17.1796875" style="9" bestFit="1" customWidth="1"/>
    <col min="22" max="22" width="16.08984375" style="9" bestFit="1" customWidth="1"/>
    <col min="23" max="23" width="15.26953125" style="9" bestFit="1" customWidth="1"/>
    <col min="24" max="24" width="16.6328125" style="9" bestFit="1" customWidth="1"/>
    <col min="25" max="25" width="17" style="9" bestFit="1" customWidth="1"/>
    <col min="26" max="26" width="17.1796875" style="9" bestFit="1" customWidth="1"/>
    <col min="27" max="27" width="16.08984375" style="9" bestFit="1" customWidth="1"/>
    <col min="28" max="28" width="15.26953125" style="9" bestFit="1" customWidth="1"/>
    <col min="29" max="29" width="16.6328125" style="9" bestFit="1" customWidth="1"/>
    <col min="30" max="30" width="17" style="9" bestFit="1" customWidth="1"/>
    <col min="31" max="31" width="17.1796875" style="9" bestFit="1" customWidth="1"/>
    <col min="32" max="32" width="16.08984375" style="9" bestFit="1" customWidth="1"/>
    <col min="33" max="33" width="15.26953125" style="9" bestFit="1" customWidth="1"/>
    <col min="34" max="16384" width="9.1796875" style="9"/>
  </cols>
  <sheetData>
    <row r="1" spans="1:33" x14ac:dyDescent="0.3">
      <c r="B1" s="56"/>
    </row>
    <row r="2" spans="1:33" x14ac:dyDescent="0.3">
      <c r="B2" s="56"/>
    </row>
    <row r="3" spans="1:33" x14ac:dyDescent="0.3">
      <c r="B3" s="56"/>
    </row>
    <row r="4" spans="1:33" x14ac:dyDescent="0.3">
      <c r="B4" s="448" t="s">
        <v>628</v>
      </c>
      <c r="C4" s="448"/>
      <c r="D4" s="448"/>
      <c r="E4" s="448"/>
      <c r="F4" s="448"/>
      <c r="G4" s="448"/>
      <c r="H4" s="448"/>
      <c r="I4" s="448"/>
      <c r="J4" s="448"/>
      <c r="K4" s="448"/>
      <c r="L4" s="448"/>
      <c r="M4" s="448"/>
    </row>
    <row r="5" spans="1:33" x14ac:dyDescent="0.3">
      <c r="B5" s="448" t="s">
        <v>570</v>
      </c>
      <c r="C5" s="448"/>
      <c r="D5" s="448"/>
      <c r="E5" s="448"/>
      <c r="F5" s="448"/>
      <c r="G5" s="448"/>
      <c r="H5" s="448"/>
      <c r="I5" s="448"/>
      <c r="J5" s="448"/>
      <c r="K5" s="448"/>
      <c r="L5" s="448"/>
      <c r="M5" s="448"/>
    </row>
    <row r="6" spans="1:33" x14ac:dyDescent="0.3">
      <c r="B6" s="530" t="s">
        <v>275</v>
      </c>
      <c r="C6" s="530"/>
      <c r="D6" s="530"/>
      <c r="E6" s="530"/>
      <c r="F6" s="530"/>
      <c r="G6" s="530"/>
      <c r="H6" s="530"/>
      <c r="I6" s="530"/>
      <c r="J6" s="530"/>
      <c r="K6" s="530"/>
      <c r="L6" s="530"/>
      <c r="M6" s="530"/>
    </row>
    <row r="7" spans="1:33" x14ac:dyDescent="0.3">
      <c r="B7" s="530" t="s">
        <v>629</v>
      </c>
      <c r="C7" s="530"/>
      <c r="D7" s="530"/>
      <c r="E7" s="530"/>
      <c r="F7" s="530"/>
      <c r="G7" s="530"/>
      <c r="H7" s="530"/>
      <c r="I7" s="530"/>
      <c r="J7" s="530"/>
      <c r="K7" s="530"/>
      <c r="L7" s="530"/>
      <c r="M7" s="530"/>
    </row>
    <row r="8" spans="1:33" x14ac:dyDescent="0.3">
      <c r="A8" s="9" t="s">
        <v>276</v>
      </c>
      <c r="B8" s="263" t="s">
        <v>277</v>
      </c>
      <c r="C8" s="263"/>
      <c r="D8" s="263"/>
      <c r="E8" s="263"/>
      <c r="F8" s="263"/>
      <c r="G8" s="263"/>
      <c r="H8" s="263"/>
      <c r="I8" s="1"/>
      <c r="J8" s="53"/>
      <c r="K8" s="1"/>
      <c r="L8" s="1"/>
      <c r="M8" s="53"/>
    </row>
    <row r="9" spans="1:33" ht="15.75" customHeight="1" x14ac:dyDescent="0.3">
      <c r="B9" s="263"/>
      <c r="C9" s="16"/>
      <c r="D9" s="16"/>
      <c r="E9" s="16"/>
      <c r="F9" s="16"/>
      <c r="G9" s="16"/>
      <c r="H9" s="16"/>
      <c r="I9" s="1"/>
      <c r="J9" s="53"/>
      <c r="K9" s="1"/>
      <c r="L9" s="1"/>
      <c r="M9" s="264" t="s">
        <v>16</v>
      </c>
    </row>
    <row r="10" spans="1:33" ht="15.75" customHeight="1" x14ac:dyDescent="0.3">
      <c r="B10" s="463" t="s">
        <v>351</v>
      </c>
      <c r="C10" s="463" t="s">
        <v>49</v>
      </c>
      <c r="D10" s="527" t="s">
        <v>507</v>
      </c>
      <c r="E10" s="527"/>
      <c r="F10" s="527"/>
      <c r="G10" s="527"/>
      <c r="H10" s="527"/>
      <c r="I10" s="527" t="s">
        <v>653</v>
      </c>
      <c r="J10" s="527"/>
      <c r="K10" s="527"/>
      <c r="L10" s="527"/>
      <c r="M10" s="527"/>
      <c r="N10" s="527" t="s">
        <v>659</v>
      </c>
      <c r="O10" s="527"/>
      <c r="P10" s="527"/>
      <c r="Q10" s="527"/>
      <c r="R10" s="527"/>
      <c r="S10" s="527" t="s">
        <v>660</v>
      </c>
      <c r="T10" s="527"/>
      <c r="U10" s="527"/>
      <c r="V10" s="527"/>
      <c r="W10" s="527"/>
      <c r="X10" s="527" t="s">
        <v>661</v>
      </c>
      <c r="Y10" s="527"/>
      <c r="Z10" s="527"/>
      <c r="AA10" s="527"/>
      <c r="AB10" s="527"/>
      <c r="AC10" s="527" t="s">
        <v>662</v>
      </c>
      <c r="AD10" s="527"/>
      <c r="AE10" s="527"/>
      <c r="AF10" s="527"/>
      <c r="AG10" s="527"/>
    </row>
    <row r="11" spans="1:33" s="44" customFormat="1" x14ac:dyDescent="0.3">
      <c r="B11" s="463"/>
      <c r="C11" s="463"/>
      <c r="D11" s="528" t="s">
        <v>31</v>
      </c>
      <c r="E11" s="529"/>
      <c r="F11" s="529"/>
      <c r="G11" s="529"/>
      <c r="H11" s="529"/>
      <c r="I11" s="528" t="s">
        <v>31</v>
      </c>
      <c r="J11" s="529"/>
      <c r="K11" s="529"/>
      <c r="L11" s="529"/>
      <c r="M11" s="529"/>
      <c r="N11" s="528" t="s">
        <v>31</v>
      </c>
      <c r="O11" s="529"/>
      <c r="P11" s="529"/>
      <c r="Q11" s="529"/>
      <c r="R11" s="529"/>
      <c r="S11" s="528" t="s">
        <v>31</v>
      </c>
      <c r="T11" s="529"/>
      <c r="U11" s="529"/>
      <c r="V11" s="529"/>
      <c r="W11" s="529"/>
      <c r="X11" s="528" t="s">
        <v>31</v>
      </c>
      <c r="Y11" s="529"/>
      <c r="Z11" s="529"/>
      <c r="AA11" s="529"/>
      <c r="AB11" s="529"/>
      <c r="AC11" s="528" t="s">
        <v>31</v>
      </c>
      <c r="AD11" s="529"/>
      <c r="AE11" s="529"/>
      <c r="AF11" s="529"/>
      <c r="AG11" s="529"/>
    </row>
    <row r="12" spans="1:33" s="45" customFormat="1" ht="42" x14ac:dyDescent="0.25">
      <c r="B12" s="463"/>
      <c r="C12" s="463"/>
      <c r="D12" s="270" t="s">
        <v>278</v>
      </c>
      <c r="E12" s="270" t="s">
        <v>279</v>
      </c>
      <c r="F12" s="270" t="s">
        <v>280</v>
      </c>
      <c r="G12" s="262" t="s">
        <v>536</v>
      </c>
      <c r="H12" s="270" t="s">
        <v>281</v>
      </c>
      <c r="I12" s="270" t="s">
        <v>278</v>
      </c>
      <c r="J12" s="270" t="s">
        <v>279</v>
      </c>
      <c r="K12" s="270" t="s">
        <v>280</v>
      </c>
      <c r="L12" s="262" t="s">
        <v>536</v>
      </c>
      <c r="M12" s="270" t="s">
        <v>281</v>
      </c>
      <c r="N12" s="409" t="s">
        <v>278</v>
      </c>
      <c r="O12" s="409" t="s">
        <v>279</v>
      </c>
      <c r="P12" s="409" t="s">
        <v>280</v>
      </c>
      <c r="Q12" s="407" t="s">
        <v>536</v>
      </c>
      <c r="R12" s="409" t="s">
        <v>281</v>
      </c>
      <c r="S12" s="409" t="s">
        <v>278</v>
      </c>
      <c r="T12" s="409" t="s">
        <v>279</v>
      </c>
      <c r="U12" s="409" t="s">
        <v>280</v>
      </c>
      <c r="V12" s="407" t="s">
        <v>536</v>
      </c>
      <c r="W12" s="409" t="s">
        <v>281</v>
      </c>
      <c r="X12" s="409" t="s">
        <v>278</v>
      </c>
      <c r="Y12" s="409" t="s">
        <v>279</v>
      </c>
      <c r="Z12" s="409" t="s">
        <v>280</v>
      </c>
      <c r="AA12" s="407" t="s">
        <v>536</v>
      </c>
      <c r="AB12" s="409" t="s">
        <v>281</v>
      </c>
      <c r="AC12" s="409" t="s">
        <v>278</v>
      </c>
      <c r="AD12" s="409" t="s">
        <v>279</v>
      </c>
      <c r="AE12" s="409" t="s">
        <v>280</v>
      </c>
      <c r="AF12" s="407" t="s">
        <v>536</v>
      </c>
      <c r="AG12" s="409" t="s">
        <v>281</v>
      </c>
    </row>
    <row r="13" spans="1:33" s="14" customFormat="1" x14ac:dyDescent="0.3">
      <c r="B13" s="94">
        <v>1</v>
      </c>
      <c r="C13" s="265" t="s">
        <v>510</v>
      </c>
      <c r="D13" s="326">
        <v>0</v>
      </c>
      <c r="E13" s="326">
        <f>'F4'!D14</f>
        <v>6026.5059355866142</v>
      </c>
      <c r="F13" s="326"/>
      <c r="G13" s="347"/>
      <c r="H13" s="326">
        <f>D13+E13-F13-G13</f>
        <v>6026.5059355866142</v>
      </c>
      <c r="I13" s="326">
        <f>H13</f>
        <v>6026.5059355866142</v>
      </c>
      <c r="J13" s="326"/>
      <c r="K13" s="326"/>
      <c r="L13" s="347"/>
      <c r="M13" s="326">
        <f>I13+J13-K13-L13</f>
        <v>6026.5059355866142</v>
      </c>
      <c r="N13" s="326">
        <f>M13</f>
        <v>6026.5059355866142</v>
      </c>
      <c r="O13" s="326"/>
      <c r="P13" s="326"/>
      <c r="Q13" s="347"/>
      <c r="R13" s="326">
        <f>N13+O13-P13-Q13</f>
        <v>6026.5059355866142</v>
      </c>
      <c r="S13" s="326">
        <f>R13</f>
        <v>6026.5059355866142</v>
      </c>
      <c r="T13" s="326"/>
      <c r="U13" s="326"/>
      <c r="V13" s="347"/>
      <c r="W13" s="326">
        <f>S13+T13-U13-V13</f>
        <v>6026.5059355866142</v>
      </c>
      <c r="X13" s="326">
        <f>W13</f>
        <v>6026.5059355866142</v>
      </c>
      <c r="Y13" s="326"/>
      <c r="Z13" s="326"/>
      <c r="AA13" s="347"/>
      <c r="AB13" s="326">
        <f>X13+Y13-Z13-AA13</f>
        <v>6026.5059355866142</v>
      </c>
      <c r="AC13" s="326">
        <f>AB13</f>
        <v>6026.5059355866142</v>
      </c>
      <c r="AD13" s="326"/>
      <c r="AE13" s="326"/>
      <c r="AF13" s="347"/>
      <c r="AG13" s="326">
        <f>AC13+AD13-AE13-AF13</f>
        <v>6026.5059355866142</v>
      </c>
    </row>
    <row r="14" spans="1:33" s="14" customFormat="1" x14ac:dyDescent="0.3">
      <c r="B14" s="94"/>
      <c r="C14" s="265"/>
      <c r="D14" s="326"/>
      <c r="E14" s="326"/>
      <c r="F14" s="326"/>
      <c r="G14" s="347"/>
      <c r="H14" s="326">
        <f t="shared" ref="H14:H19" si="0">D14+E14-F14-G14</f>
        <v>0</v>
      </c>
      <c r="I14" s="326">
        <f t="shared" ref="I14:I19" si="1">H14</f>
        <v>0</v>
      </c>
      <c r="J14" s="326"/>
      <c r="K14" s="326"/>
      <c r="L14" s="347"/>
      <c r="M14" s="326">
        <f t="shared" ref="M14:M19" si="2">I14+J14-K14-L14</f>
        <v>0</v>
      </c>
      <c r="N14" s="326">
        <f t="shared" ref="N14:N19" si="3">M14</f>
        <v>0</v>
      </c>
      <c r="O14" s="326"/>
      <c r="P14" s="326"/>
      <c r="Q14" s="347"/>
      <c r="R14" s="326">
        <f t="shared" ref="R14:R19" si="4">N14+O14-P14-Q14</f>
        <v>0</v>
      </c>
      <c r="S14" s="326">
        <f t="shared" ref="S14:S19" si="5">R14</f>
        <v>0</v>
      </c>
      <c r="T14" s="326"/>
      <c r="U14" s="326"/>
      <c r="V14" s="347"/>
      <c r="W14" s="326">
        <f t="shared" ref="W14:W19" si="6">S14+T14-U14-V14</f>
        <v>0</v>
      </c>
      <c r="X14" s="326">
        <f t="shared" ref="X14:X19" si="7">W14</f>
        <v>0</v>
      </c>
      <c r="Y14" s="326"/>
      <c r="Z14" s="326"/>
      <c r="AA14" s="347"/>
      <c r="AB14" s="326">
        <f t="shared" ref="AB14:AB19" si="8">X14+Y14-Z14-AA14</f>
        <v>0</v>
      </c>
      <c r="AC14" s="326">
        <f t="shared" ref="AC14:AC19" si="9">AB14</f>
        <v>0</v>
      </c>
      <c r="AD14" s="326"/>
      <c r="AE14" s="326"/>
      <c r="AF14" s="347"/>
      <c r="AG14" s="326">
        <f t="shared" ref="AG14:AG19" si="10">AC14+AD14-AE14-AF14</f>
        <v>0</v>
      </c>
    </row>
    <row r="15" spans="1:33" x14ac:dyDescent="0.3">
      <c r="B15" s="94"/>
      <c r="C15" s="267"/>
      <c r="D15" s="326"/>
      <c r="E15" s="326"/>
      <c r="F15" s="326"/>
      <c r="G15" s="348"/>
      <c r="H15" s="326">
        <f t="shared" si="0"/>
        <v>0</v>
      </c>
      <c r="I15" s="326">
        <f t="shared" si="1"/>
        <v>0</v>
      </c>
      <c r="J15" s="326"/>
      <c r="K15" s="326"/>
      <c r="L15" s="348"/>
      <c r="M15" s="326">
        <f t="shared" si="2"/>
        <v>0</v>
      </c>
      <c r="N15" s="326">
        <f t="shared" si="3"/>
        <v>0</v>
      </c>
      <c r="O15" s="326"/>
      <c r="P15" s="326"/>
      <c r="Q15" s="348"/>
      <c r="R15" s="326">
        <f t="shared" si="4"/>
        <v>0</v>
      </c>
      <c r="S15" s="326">
        <f t="shared" si="5"/>
        <v>0</v>
      </c>
      <c r="T15" s="326"/>
      <c r="U15" s="326"/>
      <c r="V15" s="348"/>
      <c r="W15" s="326">
        <f t="shared" si="6"/>
        <v>0</v>
      </c>
      <c r="X15" s="326">
        <f t="shared" si="7"/>
        <v>0</v>
      </c>
      <c r="Y15" s="326"/>
      <c r="Z15" s="326"/>
      <c r="AA15" s="348"/>
      <c r="AB15" s="326">
        <f t="shared" si="8"/>
        <v>0</v>
      </c>
      <c r="AC15" s="326">
        <f t="shared" si="9"/>
        <v>0</v>
      </c>
      <c r="AD15" s="326"/>
      <c r="AE15" s="326"/>
      <c r="AF15" s="348"/>
      <c r="AG15" s="326">
        <f t="shared" si="10"/>
        <v>0</v>
      </c>
    </row>
    <row r="16" spans="1:33" x14ac:dyDescent="0.3">
      <c r="B16" s="94"/>
      <c r="C16" s="265"/>
      <c r="D16" s="326"/>
      <c r="E16" s="326"/>
      <c r="F16" s="326"/>
      <c r="G16" s="347"/>
      <c r="H16" s="326">
        <f t="shared" si="0"/>
        <v>0</v>
      </c>
      <c r="I16" s="326">
        <f t="shared" si="1"/>
        <v>0</v>
      </c>
      <c r="J16" s="326"/>
      <c r="K16" s="326"/>
      <c r="L16" s="347"/>
      <c r="M16" s="326">
        <f t="shared" si="2"/>
        <v>0</v>
      </c>
      <c r="N16" s="326">
        <f t="shared" si="3"/>
        <v>0</v>
      </c>
      <c r="O16" s="326"/>
      <c r="P16" s="326"/>
      <c r="Q16" s="347"/>
      <c r="R16" s="326">
        <f t="shared" si="4"/>
        <v>0</v>
      </c>
      <c r="S16" s="326">
        <f t="shared" si="5"/>
        <v>0</v>
      </c>
      <c r="T16" s="326"/>
      <c r="U16" s="326"/>
      <c r="V16" s="347"/>
      <c r="W16" s="326">
        <f t="shared" si="6"/>
        <v>0</v>
      </c>
      <c r="X16" s="326">
        <f t="shared" si="7"/>
        <v>0</v>
      </c>
      <c r="Y16" s="326"/>
      <c r="Z16" s="326"/>
      <c r="AA16" s="347"/>
      <c r="AB16" s="326">
        <f t="shared" si="8"/>
        <v>0</v>
      </c>
      <c r="AC16" s="326">
        <f t="shared" si="9"/>
        <v>0</v>
      </c>
      <c r="AD16" s="326"/>
      <c r="AE16" s="326"/>
      <c r="AF16" s="347"/>
      <c r="AG16" s="326">
        <f t="shared" si="10"/>
        <v>0</v>
      </c>
    </row>
    <row r="17" spans="2:33" x14ac:dyDescent="0.3">
      <c r="B17" s="94"/>
      <c r="C17" s="265"/>
      <c r="D17" s="326"/>
      <c r="E17" s="326"/>
      <c r="F17" s="326"/>
      <c r="G17" s="347"/>
      <c r="H17" s="326">
        <f t="shared" si="0"/>
        <v>0</v>
      </c>
      <c r="I17" s="326">
        <f t="shared" si="1"/>
        <v>0</v>
      </c>
      <c r="J17" s="326"/>
      <c r="K17" s="326"/>
      <c r="L17" s="347"/>
      <c r="M17" s="326">
        <f t="shared" si="2"/>
        <v>0</v>
      </c>
      <c r="N17" s="326">
        <f t="shared" si="3"/>
        <v>0</v>
      </c>
      <c r="O17" s="326"/>
      <c r="P17" s="326"/>
      <c r="Q17" s="347"/>
      <c r="R17" s="326">
        <f t="shared" si="4"/>
        <v>0</v>
      </c>
      <c r="S17" s="326">
        <f t="shared" si="5"/>
        <v>0</v>
      </c>
      <c r="T17" s="326"/>
      <c r="U17" s="326"/>
      <c r="V17" s="347"/>
      <c r="W17" s="326">
        <f t="shared" si="6"/>
        <v>0</v>
      </c>
      <c r="X17" s="326">
        <f t="shared" si="7"/>
        <v>0</v>
      </c>
      <c r="Y17" s="326"/>
      <c r="Z17" s="326"/>
      <c r="AA17" s="347"/>
      <c r="AB17" s="326">
        <f t="shared" si="8"/>
        <v>0</v>
      </c>
      <c r="AC17" s="326">
        <f t="shared" si="9"/>
        <v>0</v>
      </c>
      <c r="AD17" s="326"/>
      <c r="AE17" s="326"/>
      <c r="AF17" s="347"/>
      <c r="AG17" s="326">
        <f t="shared" si="10"/>
        <v>0</v>
      </c>
    </row>
    <row r="18" spans="2:33" s="1" customFormat="1" x14ac:dyDescent="0.3">
      <c r="B18" s="94"/>
      <c r="C18" s="265"/>
      <c r="D18" s="326"/>
      <c r="E18" s="326"/>
      <c r="F18" s="326"/>
      <c r="G18" s="347"/>
      <c r="H18" s="326">
        <f t="shared" si="0"/>
        <v>0</v>
      </c>
      <c r="I18" s="326">
        <f t="shared" si="1"/>
        <v>0</v>
      </c>
      <c r="J18" s="326"/>
      <c r="K18" s="326"/>
      <c r="L18" s="347"/>
      <c r="M18" s="326">
        <f t="shared" si="2"/>
        <v>0</v>
      </c>
      <c r="N18" s="326">
        <f t="shared" si="3"/>
        <v>0</v>
      </c>
      <c r="O18" s="326"/>
      <c r="P18" s="326"/>
      <c r="Q18" s="347"/>
      <c r="R18" s="326">
        <f t="shared" si="4"/>
        <v>0</v>
      </c>
      <c r="S18" s="326">
        <f t="shared" si="5"/>
        <v>0</v>
      </c>
      <c r="T18" s="326"/>
      <c r="U18" s="326"/>
      <c r="V18" s="347"/>
      <c r="W18" s="326">
        <f t="shared" si="6"/>
        <v>0</v>
      </c>
      <c r="X18" s="326">
        <f t="shared" si="7"/>
        <v>0</v>
      </c>
      <c r="Y18" s="326"/>
      <c r="Z18" s="326"/>
      <c r="AA18" s="347"/>
      <c r="AB18" s="326">
        <f t="shared" si="8"/>
        <v>0</v>
      </c>
      <c r="AC18" s="326">
        <f t="shared" si="9"/>
        <v>0</v>
      </c>
      <c r="AD18" s="326"/>
      <c r="AE18" s="326"/>
      <c r="AF18" s="347"/>
      <c r="AG18" s="326">
        <f t="shared" si="10"/>
        <v>0</v>
      </c>
    </row>
    <row r="19" spans="2:33" s="1" customFormat="1" x14ac:dyDescent="0.3">
      <c r="B19" s="20"/>
      <c r="C19" s="46"/>
      <c r="D19" s="326"/>
      <c r="E19" s="349"/>
      <c r="F19" s="349"/>
      <c r="G19" s="350"/>
      <c r="H19" s="326">
        <f t="shared" si="0"/>
        <v>0</v>
      </c>
      <c r="I19" s="326">
        <f t="shared" si="1"/>
        <v>0</v>
      </c>
      <c r="J19" s="349"/>
      <c r="K19" s="349"/>
      <c r="L19" s="350"/>
      <c r="M19" s="326">
        <f t="shared" si="2"/>
        <v>0</v>
      </c>
      <c r="N19" s="326">
        <f t="shared" si="3"/>
        <v>0</v>
      </c>
      <c r="O19" s="349"/>
      <c r="P19" s="349"/>
      <c r="Q19" s="350"/>
      <c r="R19" s="326">
        <f t="shared" si="4"/>
        <v>0</v>
      </c>
      <c r="S19" s="326">
        <f t="shared" si="5"/>
        <v>0</v>
      </c>
      <c r="T19" s="349"/>
      <c r="U19" s="349"/>
      <c r="V19" s="350"/>
      <c r="W19" s="326">
        <f t="shared" si="6"/>
        <v>0</v>
      </c>
      <c r="X19" s="326">
        <f t="shared" si="7"/>
        <v>0</v>
      </c>
      <c r="Y19" s="349"/>
      <c r="Z19" s="349"/>
      <c r="AA19" s="350"/>
      <c r="AB19" s="326">
        <f t="shared" si="8"/>
        <v>0</v>
      </c>
      <c r="AC19" s="326">
        <f t="shared" si="9"/>
        <v>0</v>
      </c>
      <c r="AD19" s="349"/>
      <c r="AE19" s="349"/>
      <c r="AF19" s="350"/>
      <c r="AG19" s="326">
        <f t="shared" si="10"/>
        <v>0</v>
      </c>
    </row>
    <row r="20" spans="2:33" s="53" customFormat="1" ht="16.5" x14ac:dyDescent="0.3">
      <c r="B20" s="351"/>
      <c r="C20" s="100" t="s">
        <v>282</v>
      </c>
      <c r="D20" s="322">
        <f t="shared" ref="D20:G20" si="11">SUM(D13:D19)</f>
        <v>0</v>
      </c>
      <c r="E20" s="322">
        <f t="shared" si="11"/>
        <v>6026.5059355866142</v>
      </c>
      <c r="F20" s="322">
        <f t="shared" si="11"/>
        <v>0</v>
      </c>
      <c r="G20" s="322">
        <f t="shared" si="11"/>
        <v>0</v>
      </c>
      <c r="H20" s="322">
        <f>SUM(H13:H19)</f>
        <v>6026.5059355866142</v>
      </c>
      <c r="I20" s="322">
        <f t="shared" ref="I20:L20" si="12">SUM(I13:I19)</f>
        <v>6026.5059355866142</v>
      </c>
      <c r="J20" s="322">
        <f t="shared" si="12"/>
        <v>0</v>
      </c>
      <c r="K20" s="322">
        <f t="shared" si="12"/>
        <v>0</v>
      </c>
      <c r="L20" s="322">
        <f t="shared" si="12"/>
        <v>0</v>
      </c>
      <c r="M20" s="322">
        <f>SUM(M13:M19)</f>
        <v>6026.5059355866142</v>
      </c>
      <c r="N20" s="322">
        <f t="shared" ref="N20:Q20" si="13">SUM(N13:N19)</f>
        <v>6026.5059355866142</v>
      </c>
      <c r="O20" s="322">
        <f t="shared" si="13"/>
        <v>0</v>
      </c>
      <c r="P20" s="322">
        <f t="shared" si="13"/>
        <v>0</v>
      </c>
      <c r="Q20" s="322">
        <f t="shared" si="13"/>
        <v>0</v>
      </c>
      <c r="R20" s="322">
        <f>SUM(R13:R19)</f>
        <v>6026.5059355866142</v>
      </c>
      <c r="S20" s="322">
        <f t="shared" ref="S20:V20" si="14">SUM(S13:S19)</f>
        <v>6026.5059355866142</v>
      </c>
      <c r="T20" s="322">
        <f t="shared" si="14"/>
        <v>0</v>
      </c>
      <c r="U20" s="322">
        <f t="shared" si="14"/>
        <v>0</v>
      </c>
      <c r="V20" s="322">
        <f t="shared" si="14"/>
        <v>0</v>
      </c>
      <c r="W20" s="322">
        <f>SUM(W13:W19)</f>
        <v>6026.5059355866142</v>
      </c>
      <c r="X20" s="322">
        <f t="shared" ref="X20:AA20" si="15">SUM(X13:X19)</f>
        <v>6026.5059355866142</v>
      </c>
      <c r="Y20" s="322">
        <f t="shared" si="15"/>
        <v>0</v>
      </c>
      <c r="Z20" s="322">
        <f t="shared" si="15"/>
        <v>0</v>
      </c>
      <c r="AA20" s="322">
        <f t="shared" si="15"/>
        <v>0</v>
      </c>
      <c r="AB20" s="322">
        <f>SUM(AB13:AB19)</f>
        <v>6026.5059355866142</v>
      </c>
      <c r="AC20" s="322">
        <f t="shared" ref="AC20:AF20" si="16">SUM(AC13:AC19)</f>
        <v>6026.5059355866142</v>
      </c>
      <c r="AD20" s="322">
        <f t="shared" si="16"/>
        <v>0</v>
      </c>
      <c r="AE20" s="322">
        <f t="shared" si="16"/>
        <v>0</v>
      </c>
      <c r="AF20" s="322">
        <f t="shared" si="16"/>
        <v>0</v>
      </c>
      <c r="AG20" s="322">
        <f>SUM(AG13:AG19)</f>
        <v>6026.5059355866142</v>
      </c>
    </row>
    <row r="21" spans="2:33" s="1" customFormat="1" ht="16" x14ac:dyDescent="0.3">
      <c r="B21" s="271"/>
      <c r="C21" s="271"/>
      <c r="D21" s="271"/>
      <c r="E21" s="271"/>
      <c r="F21" s="271"/>
      <c r="G21" s="271"/>
      <c r="H21" s="271"/>
      <c r="I21" s="271"/>
      <c r="J21" s="271"/>
      <c r="K21" s="271"/>
      <c r="L21" s="271"/>
      <c r="M21" s="271"/>
    </row>
    <row r="22" spans="2:33" ht="16" x14ac:dyDescent="0.3">
      <c r="B22" s="271"/>
      <c r="C22" s="271"/>
      <c r="D22" s="271"/>
      <c r="E22" s="271"/>
      <c r="F22" s="271"/>
      <c r="G22" s="271"/>
      <c r="H22" s="271"/>
      <c r="I22" s="271"/>
      <c r="J22" s="271"/>
      <c r="K22" s="271"/>
      <c r="L22" s="271"/>
      <c r="M22" s="271"/>
    </row>
    <row r="23" spans="2:33" x14ac:dyDescent="0.3">
      <c r="B23" s="1"/>
      <c r="C23" s="1"/>
      <c r="D23" s="1"/>
      <c r="E23" s="1"/>
      <c r="F23" s="1"/>
      <c r="G23" s="1"/>
      <c r="H23" s="1"/>
      <c r="I23" s="1"/>
      <c r="J23" s="1"/>
      <c r="K23" s="1"/>
      <c r="L23" s="1"/>
      <c r="M23" s="1"/>
    </row>
    <row r="24" spans="2:33" x14ac:dyDescent="0.3">
      <c r="B24" s="263" t="s">
        <v>283</v>
      </c>
      <c r="C24" s="1"/>
      <c r="D24" s="1"/>
      <c r="E24" s="1"/>
      <c r="F24" s="1"/>
      <c r="G24" s="1"/>
      <c r="H24" s="1"/>
      <c r="I24" s="1"/>
      <c r="J24" s="1"/>
      <c r="K24" s="1"/>
      <c r="L24" s="1"/>
      <c r="M24" s="1"/>
    </row>
    <row r="25" spans="2:33" x14ac:dyDescent="0.3">
      <c r="B25" s="263"/>
      <c r="C25" s="1"/>
      <c r="D25" s="1"/>
      <c r="E25" s="1"/>
      <c r="F25" s="1"/>
      <c r="G25" s="1"/>
      <c r="H25" s="1"/>
      <c r="I25" s="1"/>
      <c r="J25" s="1"/>
      <c r="K25" s="1"/>
      <c r="L25" s="1"/>
      <c r="M25" s="1"/>
    </row>
    <row r="26" spans="2:33" x14ac:dyDescent="0.3">
      <c r="B26" s="463" t="s">
        <v>351</v>
      </c>
      <c r="C26" s="463" t="s">
        <v>49</v>
      </c>
      <c r="D26" s="527" t="s">
        <v>507</v>
      </c>
      <c r="E26" s="527"/>
      <c r="F26" s="527"/>
      <c r="G26" s="527"/>
      <c r="H26" s="527"/>
      <c r="I26" s="527" t="s">
        <v>653</v>
      </c>
      <c r="J26" s="527"/>
      <c r="K26" s="527"/>
      <c r="L26" s="527"/>
      <c r="M26" s="527"/>
      <c r="N26" s="527" t="s">
        <v>659</v>
      </c>
      <c r="O26" s="527"/>
      <c r="P26" s="527"/>
      <c r="Q26" s="527"/>
      <c r="R26" s="527"/>
      <c r="S26" s="527" t="s">
        <v>660</v>
      </c>
      <c r="T26" s="527"/>
      <c r="U26" s="527"/>
      <c r="V26" s="527"/>
      <c r="W26" s="527"/>
      <c r="X26" s="527" t="s">
        <v>661</v>
      </c>
      <c r="Y26" s="527"/>
      <c r="Z26" s="527"/>
      <c r="AA26" s="527"/>
      <c r="AB26" s="527"/>
      <c r="AC26" s="527" t="s">
        <v>662</v>
      </c>
      <c r="AD26" s="527"/>
      <c r="AE26" s="527"/>
      <c r="AF26" s="527"/>
      <c r="AG26" s="527"/>
    </row>
    <row r="27" spans="2:33" x14ac:dyDescent="0.3">
      <c r="B27" s="463"/>
      <c r="C27" s="463"/>
      <c r="D27" s="528" t="s">
        <v>31</v>
      </c>
      <c r="E27" s="529"/>
      <c r="F27" s="529"/>
      <c r="G27" s="529"/>
      <c r="H27" s="529"/>
      <c r="I27" s="528" t="s">
        <v>31</v>
      </c>
      <c r="J27" s="529"/>
      <c r="K27" s="529"/>
      <c r="L27" s="529"/>
      <c r="M27" s="529"/>
      <c r="N27" s="528" t="s">
        <v>31</v>
      </c>
      <c r="O27" s="529"/>
      <c r="P27" s="529"/>
      <c r="Q27" s="529"/>
      <c r="R27" s="529"/>
      <c r="S27" s="528" t="s">
        <v>31</v>
      </c>
      <c r="T27" s="529"/>
      <c r="U27" s="529"/>
      <c r="V27" s="529"/>
      <c r="W27" s="529"/>
      <c r="X27" s="528" t="s">
        <v>31</v>
      </c>
      <c r="Y27" s="529"/>
      <c r="Z27" s="529"/>
      <c r="AA27" s="529"/>
      <c r="AB27" s="529"/>
      <c r="AC27" s="528" t="s">
        <v>31</v>
      </c>
      <c r="AD27" s="529"/>
      <c r="AE27" s="529"/>
      <c r="AF27" s="529"/>
      <c r="AG27" s="529"/>
    </row>
    <row r="28" spans="2:33" ht="56" x14ac:dyDescent="0.3">
      <c r="B28" s="463"/>
      <c r="C28" s="463"/>
      <c r="D28" s="270" t="s">
        <v>284</v>
      </c>
      <c r="E28" s="270" t="s">
        <v>279</v>
      </c>
      <c r="F28" s="272" t="s">
        <v>285</v>
      </c>
      <c r="G28" s="262" t="s">
        <v>536</v>
      </c>
      <c r="H28" s="270" t="s">
        <v>286</v>
      </c>
      <c r="I28" s="270" t="s">
        <v>284</v>
      </c>
      <c r="J28" s="270" t="s">
        <v>279</v>
      </c>
      <c r="K28" s="272" t="s">
        <v>285</v>
      </c>
      <c r="L28" s="262" t="s">
        <v>536</v>
      </c>
      <c r="M28" s="270" t="s">
        <v>286</v>
      </c>
      <c r="N28" s="409" t="s">
        <v>284</v>
      </c>
      <c r="O28" s="409" t="s">
        <v>279</v>
      </c>
      <c r="P28" s="272" t="s">
        <v>285</v>
      </c>
      <c r="Q28" s="407" t="s">
        <v>536</v>
      </c>
      <c r="R28" s="409" t="s">
        <v>286</v>
      </c>
      <c r="S28" s="409" t="s">
        <v>284</v>
      </c>
      <c r="T28" s="409" t="s">
        <v>279</v>
      </c>
      <c r="U28" s="272" t="s">
        <v>285</v>
      </c>
      <c r="V28" s="407" t="s">
        <v>536</v>
      </c>
      <c r="W28" s="409" t="s">
        <v>286</v>
      </c>
      <c r="X28" s="409" t="s">
        <v>284</v>
      </c>
      <c r="Y28" s="409" t="s">
        <v>279</v>
      </c>
      <c r="Z28" s="272" t="s">
        <v>285</v>
      </c>
      <c r="AA28" s="407" t="s">
        <v>536</v>
      </c>
      <c r="AB28" s="409" t="s">
        <v>286</v>
      </c>
      <c r="AC28" s="409" t="s">
        <v>284</v>
      </c>
      <c r="AD28" s="409" t="s">
        <v>279</v>
      </c>
      <c r="AE28" s="272" t="s">
        <v>285</v>
      </c>
      <c r="AF28" s="407" t="s">
        <v>536</v>
      </c>
      <c r="AG28" s="409" t="s">
        <v>286</v>
      </c>
    </row>
    <row r="29" spans="2:33" x14ac:dyDescent="0.3">
      <c r="B29" s="94">
        <v>1</v>
      </c>
      <c r="C29" s="265" t="s">
        <v>510</v>
      </c>
      <c r="D29" s="326">
        <v>0</v>
      </c>
      <c r="E29" s="329">
        <f>E13*5.28%/365*(28+31)</f>
        <v>51.4349898370943</v>
      </c>
      <c r="F29" s="20"/>
      <c r="G29" s="266"/>
      <c r="H29" s="329">
        <f>D29+E29-F29-G29</f>
        <v>51.4349898370943</v>
      </c>
      <c r="I29" s="329">
        <f>H29</f>
        <v>51.4349898370943</v>
      </c>
      <c r="J29" s="329">
        <f>I13*5.28%</f>
        <v>318.19951339897324</v>
      </c>
      <c r="K29" s="20"/>
      <c r="L29" s="266"/>
      <c r="M29" s="329">
        <f>I29+J29-K29-L29</f>
        <v>369.63450323606753</v>
      </c>
      <c r="N29" s="329">
        <f>M29</f>
        <v>369.63450323606753</v>
      </c>
      <c r="O29" s="329">
        <f>N13*5.28%</f>
        <v>318.19951339897324</v>
      </c>
      <c r="P29" s="20"/>
      <c r="Q29" s="266"/>
      <c r="R29" s="329">
        <f>N29+O29-P29-Q29</f>
        <v>687.83401663504083</v>
      </c>
      <c r="S29" s="329">
        <f>R29</f>
        <v>687.83401663504083</v>
      </c>
      <c r="T29" s="329">
        <f>S13*5.28%</f>
        <v>318.19951339897324</v>
      </c>
      <c r="U29" s="20"/>
      <c r="V29" s="266"/>
      <c r="W29" s="329">
        <f>S29+T29-U29-V29</f>
        <v>1006.0335300340141</v>
      </c>
      <c r="X29" s="329">
        <f>W29</f>
        <v>1006.0335300340141</v>
      </c>
      <c r="Y29" s="329">
        <f>X13*5.28%</f>
        <v>318.19951339897324</v>
      </c>
      <c r="Z29" s="20"/>
      <c r="AA29" s="266"/>
      <c r="AB29" s="329">
        <f>X29+Y29-Z29-AA29</f>
        <v>1324.2330434329874</v>
      </c>
      <c r="AC29" s="329">
        <f>AB29</f>
        <v>1324.2330434329874</v>
      </c>
      <c r="AD29" s="329">
        <f>AC13*5.28%</f>
        <v>318.19951339897324</v>
      </c>
      <c r="AE29" s="20"/>
      <c r="AF29" s="266"/>
      <c r="AG29" s="329">
        <f>AC29+AD29-AE29-AF29</f>
        <v>1642.4325568319607</v>
      </c>
    </row>
    <row r="30" spans="2:33" x14ac:dyDescent="0.3">
      <c r="B30" s="94"/>
      <c r="C30" s="265"/>
      <c r="D30" s="20"/>
      <c r="E30" s="20"/>
      <c r="F30" s="20"/>
      <c r="G30" s="266"/>
      <c r="H30" s="20"/>
      <c r="I30" s="20"/>
      <c r="J30" s="20"/>
      <c r="K30" s="20"/>
      <c r="L30" s="266"/>
      <c r="M30" s="20"/>
      <c r="N30" s="20"/>
      <c r="O30" s="20"/>
      <c r="P30" s="20"/>
      <c r="Q30" s="266"/>
      <c r="R30" s="20"/>
      <c r="S30" s="20"/>
      <c r="T30" s="20"/>
      <c r="U30" s="20"/>
      <c r="V30" s="266"/>
      <c r="W30" s="20"/>
      <c r="X30" s="20"/>
      <c r="Y30" s="20"/>
      <c r="Z30" s="20"/>
      <c r="AA30" s="266"/>
      <c r="AB30" s="20"/>
      <c r="AC30" s="20"/>
      <c r="AD30" s="20"/>
      <c r="AE30" s="20"/>
      <c r="AF30" s="266"/>
      <c r="AG30" s="20"/>
    </row>
    <row r="31" spans="2:33" x14ac:dyDescent="0.3">
      <c r="B31" s="94"/>
      <c r="C31" s="265"/>
      <c r="D31" s="20"/>
      <c r="E31" s="20"/>
      <c r="F31" s="20"/>
      <c r="G31" s="268"/>
      <c r="H31" s="20"/>
      <c r="I31" s="20"/>
      <c r="J31" s="20"/>
      <c r="K31" s="20"/>
      <c r="L31" s="268"/>
      <c r="M31" s="20"/>
      <c r="N31" s="20"/>
      <c r="O31" s="20"/>
      <c r="P31" s="20"/>
      <c r="Q31" s="268"/>
      <c r="R31" s="20"/>
      <c r="S31" s="20"/>
      <c r="T31" s="20"/>
      <c r="U31" s="20"/>
      <c r="V31" s="268"/>
      <c r="W31" s="20"/>
      <c r="X31" s="20"/>
      <c r="Y31" s="20"/>
      <c r="Z31" s="20"/>
      <c r="AA31" s="268"/>
      <c r="AB31" s="20"/>
      <c r="AC31" s="20"/>
      <c r="AD31" s="20"/>
      <c r="AE31" s="20"/>
      <c r="AF31" s="268"/>
      <c r="AG31" s="20"/>
    </row>
    <row r="32" spans="2:33" x14ac:dyDescent="0.3">
      <c r="B32" s="94"/>
      <c r="C32" s="265"/>
      <c r="D32" s="20"/>
      <c r="E32" s="20"/>
      <c r="F32" s="20"/>
      <c r="G32" s="266"/>
      <c r="H32" s="20"/>
      <c r="I32" s="20"/>
      <c r="J32" s="20"/>
      <c r="K32" s="20"/>
      <c r="L32" s="266"/>
      <c r="M32" s="20"/>
      <c r="N32" s="20"/>
      <c r="O32" s="20"/>
      <c r="P32" s="20"/>
      <c r="Q32" s="266"/>
      <c r="R32" s="20"/>
      <c r="S32" s="20"/>
      <c r="T32" s="20"/>
      <c r="U32" s="20"/>
      <c r="V32" s="266"/>
      <c r="W32" s="20"/>
      <c r="X32" s="20"/>
      <c r="Y32" s="20"/>
      <c r="Z32" s="20"/>
      <c r="AA32" s="266"/>
      <c r="AB32" s="20"/>
      <c r="AC32" s="20"/>
      <c r="AD32" s="20"/>
      <c r="AE32" s="20"/>
      <c r="AF32" s="266"/>
      <c r="AG32" s="20"/>
    </row>
    <row r="33" spans="2:33" x14ac:dyDescent="0.3">
      <c r="B33" s="94"/>
      <c r="C33" s="265"/>
      <c r="D33" s="20"/>
      <c r="E33" s="20"/>
      <c r="F33" s="20"/>
      <c r="G33" s="266"/>
      <c r="H33" s="20"/>
      <c r="I33" s="20"/>
      <c r="J33" s="20"/>
      <c r="K33" s="20"/>
      <c r="L33" s="266"/>
      <c r="M33" s="20"/>
      <c r="N33" s="20"/>
      <c r="O33" s="20"/>
      <c r="P33" s="20"/>
      <c r="Q33" s="266"/>
      <c r="R33" s="20"/>
      <c r="S33" s="20"/>
      <c r="T33" s="20"/>
      <c r="U33" s="20"/>
      <c r="V33" s="266"/>
      <c r="W33" s="20"/>
      <c r="X33" s="20"/>
      <c r="Y33" s="20"/>
      <c r="Z33" s="20"/>
      <c r="AA33" s="266"/>
      <c r="AB33" s="20"/>
      <c r="AC33" s="20"/>
      <c r="AD33" s="20"/>
      <c r="AE33" s="20"/>
      <c r="AF33" s="266"/>
      <c r="AG33" s="20"/>
    </row>
    <row r="34" spans="2:33" x14ac:dyDescent="0.3">
      <c r="B34" s="20"/>
      <c r="C34" s="46"/>
      <c r="D34" s="20"/>
      <c r="E34" s="269"/>
      <c r="F34" s="269"/>
      <c r="G34" s="266"/>
      <c r="H34" s="20"/>
      <c r="I34" s="20"/>
      <c r="J34" s="269"/>
      <c r="K34" s="269"/>
      <c r="L34" s="266"/>
      <c r="M34" s="20"/>
      <c r="N34" s="20"/>
      <c r="O34" s="269"/>
      <c r="P34" s="269"/>
      <c r="Q34" s="266"/>
      <c r="R34" s="20"/>
      <c r="S34" s="20"/>
      <c r="T34" s="269"/>
      <c r="U34" s="269"/>
      <c r="V34" s="266"/>
      <c r="W34" s="20"/>
      <c r="X34" s="20"/>
      <c r="Y34" s="269"/>
      <c r="Z34" s="269"/>
      <c r="AA34" s="266"/>
      <c r="AB34" s="20"/>
      <c r="AC34" s="20"/>
      <c r="AD34" s="269"/>
      <c r="AE34" s="269"/>
      <c r="AF34" s="266"/>
      <c r="AG34" s="20"/>
    </row>
    <row r="35" spans="2:33" s="14" customFormat="1" ht="16.5" x14ac:dyDescent="0.3">
      <c r="B35" s="351"/>
      <c r="C35" s="100" t="s">
        <v>282</v>
      </c>
      <c r="D35" s="352">
        <f t="shared" ref="D35" si="17">SUM(D28:D34)</f>
        <v>0</v>
      </c>
      <c r="E35" s="352">
        <f>SUM(E29:E34)</f>
        <v>51.4349898370943</v>
      </c>
      <c r="F35" s="352">
        <f t="shared" ref="F35:M35" si="18">SUM(F29:F34)</f>
        <v>0</v>
      </c>
      <c r="G35" s="352">
        <f t="shared" si="18"/>
        <v>0</v>
      </c>
      <c r="H35" s="352">
        <f t="shared" si="18"/>
        <v>51.4349898370943</v>
      </c>
      <c r="I35" s="352">
        <f t="shared" si="18"/>
        <v>51.4349898370943</v>
      </c>
      <c r="J35" s="352">
        <f t="shared" si="18"/>
        <v>318.19951339897324</v>
      </c>
      <c r="K35" s="352">
        <f t="shared" si="18"/>
        <v>0</v>
      </c>
      <c r="L35" s="352">
        <f t="shared" si="18"/>
        <v>0</v>
      </c>
      <c r="M35" s="352">
        <f t="shared" si="18"/>
        <v>369.63450323606753</v>
      </c>
      <c r="N35" s="352">
        <f t="shared" ref="N35:AG35" si="19">SUM(N29:N34)</f>
        <v>369.63450323606753</v>
      </c>
      <c r="O35" s="352">
        <f t="shared" si="19"/>
        <v>318.19951339897324</v>
      </c>
      <c r="P35" s="352">
        <f t="shared" si="19"/>
        <v>0</v>
      </c>
      <c r="Q35" s="352">
        <f t="shared" si="19"/>
        <v>0</v>
      </c>
      <c r="R35" s="352">
        <f t="shared" si="19"/>
        <v>687.83401663504083</v>
      </c>
      <c r="S35" s="352">
        <f t="shared" si="19"/>
        <v>687.83401663504083</v>
      </c>
      <c r="T35" s="352">
        <f t="shared" si="19"/>
        <v>318.19951339897324</v>
      </c>
      <c r="U35" s="352">
        <f t="shared" si="19"/>
        <v>0</v>
      </c>
      <c r="V35" s="352">
        <f t="shared" si="19"/>
        <v>0</v>
      </c>
      <c r="W35" s="352">
        <f t="shared" si="19"/>
        <v>1006.0335300340141</v>
      </c>
      <c r="X35" s="352">
        <f t="shared" si="19"/>
        <v>1006.0335300340141</v>
      </c>
      <c r="Y35" s="352">
        <f t="shared" si="19"/>
        <v>318.19951339897324</v>
      </c>
      <c r="Z35" s="352">
        <f t="shared" si="19"/>
        <v>0</v>
      </c>
      <c r="AA35" s="352">
        <f t="shared" si="19"/>
        <v>0</v>
      </c>
      <c r="AB35" s="352">
        <f t="shared" si="19"/>
        <v>1324.2330434329874</v>
      </c>
      <c r="AC35" s="352">
        <f t="shared" si="19"/>
        <v>1324.2330434329874</v>
      </c>
      <c r="AD35" s="352">
        <f t="shared" si="19"/>
        <v>318.19951339897324</v>
      </c>
      <c r="AE35" s="352">
        <f t="shared" si="19"/>
        <v>0</v>
      </c>
      <c r="AF35" s="352">
        <f t="shared" si="19"/>
        <v>0</v>
      </c>
      <c r="AG35" s="352">
        <f t="shared" si="19"/>
        <v>1642.4325568319607</v>
      </c>
    </row>
    <row r="36" spans="2:33" ht="16" x14ac:dyDescent="0.3">
      <c r="B36" s="271"/>
      <c r="C36" s="273"/>
      <c r="D36" s="273"/>
      <c r="E36" s="273"/>
      <c r="F36" s="273"/>
      <c r="G36" s="273"/>
      <c r="H36" s="273"/>
      <c r="I36" s="271"/>
      <c r="J36" s="271"/>
      <c r="K36" s="271"/>
      <c r="L36" s="271"/>
      <c r="M36" s="271"/>
    </row>
    <row r="37" spans="2:33" x14ac:dyDescent="0.3">
      <c r="B37" s="1"/>
      <c r="C37" s="1"/>
      <c r="D37" s="1"/>
      <c r="E37" s="1"/>
      <c r="F37" s="1"/>
      <c r="G37" s="1"/>
      <c r="H37" s="1"/>
      <c r="I37" s="1"/>
      <c r="J37" s="1"/>
      <c r="K37" s="1"/>
      <c r="L37" s="1"/>
      <c r="M37" s="1"/>
    </row>
    <row r="38" spans="2:33" x14ac:dyDescent="0.3">
      <c r="B38" s="263" t="s">
        <v>352</v>
      </c>
      <c r="C38" s="1"/>
      <c r="D38" s="1"/>
      <c r="E38" s="1"/>
      <c r="F38" s="1"/>
      <c r="G38" s="1"/>
      <c r="H38" s="1"/>
      <c r="I38" s="1"/>
      <c r="J38" s="1"/>
      <c r="K38" s="1"/>
      <c r="L38" s="1"/>
      <c r="M38" s="1"/>
    </row>
    <row r="39" spans="2:33" x14ac:dyDescent="0.3">
      <c r="B39" s="263"/>
      <c r="C39" s="1"/>
      <c r="D39" s="1"/>
      <c r="E39" s="1"/>
      <c r="F39" s="1"/>
      <c r="G39" s="1"/>
      <c r="H39" s="1"/>
      <c r="I39" s="1"/>
      <c r="J39" s="1"/>
      <c r="K39" s="1"/>
      <c r="L39" s="1"/>
      <c r="M39" s="1"/>
    </row>
    <row r="40" spans="2:33" ht="14" customHeight="1" x14ac:dyDescent="0.3">
      <c r="B40" s="463" t="s">
        <v>351</v>
      </c>
      <c r="C40" s="463" t="s">
        <v>49</v>
      </c>
      <c r="D40" s="527" t="s">
        <v>507</v>
      </c>
      <c r="E40" s="527"/>
      <c r="F40" s="527"/>
      <c r="G40" s="527"/>
      <c r="H40" s="527"/>
      <c r="I40" s="527" t="s">
        <v>653</v>
      </c>
      <c r="J40" s="527"/>
      <c r="K40" s="527"/>
      <c r="L40" s="527"/>
      <c r="M40" s="527"/>
      <c r="N40" s="527" t="s">
        <v>659</v>
      </c>
      <c r="O40" s="527"/>
      <c r="P40" s="527"/>
      <c r="Q40" s="527"/>
      <c r="R40" s="527"/>
      <c r="S40" s="527" t="s">
        <v>660</v>
      </c>
      <c r="T40" s="527"/>
      <c r="U40" s="527"/>
      <c r="V40" s="527"/>
      <c r="W40" s="527"/>
      <c r="X40" s="527" t="s">
        <v>661</v>
      </c>
      <c r="Y40" s="527"/>
      <c r="Z40" s="527"/>
      <c r="AA40" s="527"/>
      <c r="AB40" s="527"/>
      <c r="AC40" s="527" t="s">
        <v>662</v>
      </c>
      <c r="AD40" s="527"/>
      <c r="AE40" s="527"/>
      <c r="AF40" s="527"/>
      <c r="AG40" s="527"/>
    </row>
    <row r="41" spans="2:33" x14ac:dyDescent="0.3">
      <c r="B41" s="463"/>
      <c r="C41" s="463"/>
      <c r="D41" s="528" t="s">
        <v>31</v>
      </c>
      <c r="E41" s="529"/>
      <c r="F41" s="529"/>
      <c r="G41" s="529"/>
      <c r="H41" s="529"/>
      <c r="I41" s="528" t="s">
        <v>31</v>
      </c>
      <c r="J41" s="529"/>
      <c r="K41" s="529"/>
      <c r="L41" s="529"/>
      <c r="M41" s="529"/>
      <c r="N41" s="528" t="s">
        <v>31</v>
      </c>
      <c r="O41" s="529"/>
      <c r="P41" s="529"/>
      <c r="Q41" s="529"/>
      <c r="R41" s="529"/>
      <c r="S41" s="528" t="s">
        <v>31</v>
      </c>
      <c r="T41" s="529"/>
      <c r="U41" s="529"/>
      <c r="V41" s="529"/>
      <c r="W41" s="529"/>
      <c r="X41" s="528" t="s">
        <v>31</v>
      </c>
      <c r="Y41" s="529"/>
      <c r="Z41" s="529"/>
      <c r="AA41" s="529"/>
      <c r="AB41" s="529"/>
      <c r="AC41" s="528" t="s">
        <v>31</v>
      </c>
      <c r="AD41" s="529"/>
      <c r="AE41" s="529"/>
      <c r="AF41" s="529"/>
      <c r="AG41" s="529"/>
    </row>
    <row r="42" spans="2:33" ht="42" x14ac:dyDescent="0.3">
      <c r="B42" s="463"/>
      <c r="C42" s="463"/>
      <c r="D42" s="270" t="s">
        <v>278</v>
      </c>
      <c r="E42" s="270" t="s">
        <v>279</v>
      </c>
      <c r="F42" s="272" t="s">
        <v>285</v>
      </c>
      <c r="G42" s="262" t="s">
        <v>536</v>
      </c>
      <c r="H42" s="270" t="s">
        <v>281</v>
      </c>
      <c r="I42" s="270" t="s">
        <v>278</v>
      </c>
      <c r="J42" s="270" t="s">
        <v>279</v>
      </c>
      <c r="K42" s="272" t="s">
        <v>285</v>
      </c>
      <c r="L42" s="262" t="s">
        <v>536</v>
      </c>
      <c r="M42" s="270" t="s">
        <v>281</v>
      </c>
      <c r="N42" s="409" t="s">
        <v>278</v>
      </c>
      <c r="O42" s="409" t="s">
        <v>279</v>
      </c>
      <c r="P42" s="272" t="s">
        <v>285</v>
      </c>
      <c r="Q42" s="407" t="s">
        <v>536</v>
      </c>
      <c r="R42" s="409" t="s">
        <v>281</v>
      </c>
      <c r="S42" s="409" t="s">
        <v>278</v>
      </c>
      <c r="T42" s="409" t="s">
        <v>279</v>
      </c>
      <c r="U42" s="272" t="s">
        <v>285</v>
      </c>
      <c r="V42" s="407" t="s">
        <v>536</v>
      </c>
      <c r="W42" s="409" t="s">
        <v>281</v>
      </c>
      <c r="X42" s="409" t="s">
        <v>278</v>
      </c>
      <c r="Y42" s="409" t="s">
        <v>279</v>
      </c>
      <c r="Z42" s="272" t="s">
        <v>285</v>
      </c>
      <c r="AA42" s="407" t="s">
        <v>536</v>
      </c>
      <c r="AB42" s="409" t="s">
        <v>281</v>
      </c>
      <c r="AC42" s="409" t="s">
        <v>278</v>
      </c>
      <c r="AD42" s="409" t="s">
        <v>279</v>
      </c>
      <c r="AE42" s="272" t="s">
        <v>285</v>
      </c>
      <c r="AF42" s="407" t="s">
        <v>536</v>
      </c>
      <c r="AG42" s="409" t="s">
        <v>281</v>
      </c>
    </row>
    <row r="43" spans="2:33" x14ac:dyDescent="0.3">
      <c r="B43" s="94">
        <v>1</v>
      </c>
      <c r="C43" s="265" t="s">
        <v>510</v>
      </c>
      <c r="D43" s="329">
        <f>D13-D29</f>
        <v>0</v>
      </c>
      <c r="E43" s="329">
        <f>E13-E29</f>
        <v>5975.0709457495195</v>
      </c>
      <c r="F43" s="329">
        <f>F13-F29</f>
        <v>0</v>
      </c>
      <c r="G43" s="329">
        <f>G13-G29</f>
        <v>0</v>
      </c>
      <c r="H43" s="329">
        <f>D43+E43-F43-G43</f>
        <v>5975.0709457495195</v>
      </c>
      <c r="I43" s="329">
        <f>H43</f>
        <v>5975.0709457495195</v>
      </c>
      <c r="J43" s="329"/>
      <c r="K43" s="329"/>
      <c r="L43" s="329"/>
      <c r="M43" s="329">
        <f>M13-M29</f>
        <v>5656.8714323505465</v>
      </c>
      <c r="N43" s="329">
        <f>M43</f>
        <v>5656.8714323505465</v>
      </c>
      <c r="O43" s="329"/>
      <c r="P43" s="329"/>
      <c r="Q43" s="329"/>
      <c r="R43" s="329">
        <f>R13-R29</f>
        <v>5338.6719189515734</v>
      </c>
      <c r="S43" s="329">
        <f>R43</f>
        <v>5338.6719189515734</v>
      </c>
      <c r="T43" s="329"/>
      <c r="U43" s="329"/>
      <c r="V43" s="329"/>
      <c r="W43" s="329">
        <f>W13-W29</f>
        <v>5020.4724055526003</v>
      </c>
      <c r="X43" s="329">
        <f>W43</f>
        <v>5020.4724055526003</v>
      </c>
      <c r="Y43" s="329"/>
      <c r="Z43" s="329"/>
      <c r="AA43" s="329"/>
      <c r="AB43" s="329">
        <f>AB13-AB29</f>
        <v>4702.2728921536273</v>
      </c>
      <c r="AC43" s="329">
        <f>AB43</f>
        <v>4702.2728921536273</v>
      </c>
      <c r="AD43" s="329"/>
      <c r="AE43" s="329"/>
      <c r="AF43" s="329"/>
      <c r="AG43" s="329">
        <f>AG13-AG29</f>
        <v>4384.0733787546533</v>
      </c>
    </row>
    <row r="44" spans="2:33" x14ac:dyDescent="0.3">
      <c r="B44" s="94"/>
      <c r="C44" s="265"/>
      <c r="D44" s="20"/>
      <c r="E44" s="20"/>
      <c r="F44" s="20"/>
      <c r="G44" s="266"/>
      <c r="H44" s="20"/>
      <c r="I44" s="20"/>
      <c r="J44" s="20"/>
      <c r="K44" s="20"/>
      <c r="L44" s="266"/>
      <c r="M44" s="20"/>
      <c r="N44" s="20"/>
      <c r="O44" s="20"/>
      <c r="P44" s="20"/>
      <c r="Q44" s="266"/>
      <c r="R44" s="20"/>
      <c r="S44" s="20"/>
      <c r="T44" s="20"/>
      <c r="U44" s="20"/>
      <c r="V44" s="266"/>
      <c r="W44" s="20"/>
      <c r="X44" s="20"/>
      <c r="Y44" s="20"/>
      <c r="Z44" s="20"/>
      <c r="AA44" s="266"/>
      <c r="AB44" s="20"/>
      <c r="AC44" s="20"/>
      <c r="AD44" s="20"/>
      <c r="AE44" s="20"/>
      <c r="AF44" s="266"/>
      <c r="AG44" s="20"/>
    </row>
    <row r="45" spans="2:33" x14ac:dyDescent="0.3">
      <c r="B45" s="94"/>
      <c r="C45" s="265"/>
      <c r="D45" s="20"/>
      <c r="E45" s="20"/>
      <c r="F45" s="20"/>
      <c r="G45" s="268"/>
      <c r="H45" s="20"/>
      <c r="I45" s="20"/>
      <c r="J45" s="20"/>
      <c r="K45" s="20"/>
      <c r="L45" s="268"/>
      <c r="M45" s="20"/>
      <c r="N45" s="20"/>
      <c r="O45" s="20"/>
      <c r="P45" s="20"/>
      <c r="Q45" s="268"/>
      <c r="R45" s="20"/>
      <c r="S45" s="20"/>
      <c r="T45" s="20"/>
      <c r="U45" s="20"/>
      <c r="V45" s="268"/>
      <c r="W45" s="20"/>
      <c r="X45" s="20"/>
      <c r="Y45" s="20"/>
      <c r="Z45" s="20"/>
      <c r="AA45" s="268"/>
      <c r="AB45" s="20"/>
      <c r="AC45" s="20"/>
      <c r="AD45" s="20"/>
      <c r="AE45" s="20"/>
      <c r="AF45" s="268"/>
      <c r="AG45" s="20"/>
    </row>
    <row r="46" spans="2:33" x14ac:dyDescent="0.3">
      <c r="B46" s="94"/>
      <c r="C46" s="265"/>
      <c r="D46" s="20"/>
      <c r="E46" s="20"/>
      <c r="F46" s="20"/>
      <c r="G46" s="266"/>
      <c r="H46" s="20"/>
      <c r="I46" s="20"/>
      <c r="J46" s="20"/>
      <c r="K46" s="20"/>
      <c r="L46" s="266"/>
      <c r="M46" s="20"/>
      <c r="N46" s="20"/>
      <c r="O46" s="20"/>
      <c r="P46" s="20"/>
      <c r="Q46" s="266"/>
      <c r="R46" s="20"/>
      <c r="S46" s="20"/>
      <c r="T46" s="20"/>
      <c r="U46" s="20"/>
      <c r="V46" s="266"/>
      <c r="W46" s="20"/>
      <c r="X46" s="20"/>
      <c r="Y46" s="20"/>
      <c r="Z46" s="20"/>
      <c r="AA46" s="266"/>
      <c r="AB46" s="20"/>
      <c r="AC46" s="20"/>
      <c r="AD46" s="20"/>
      <c r="AE46" s="20"/>
      <c r="AF46" s="266"/>
      <c r="AG46" s="20"/>
    </row>
    <row r="47" spans="2:33" x14ac:dyDescent="0.3">
      <c r="B47" s="94"/>
      <c r="C47" s="265"/>
      <c r="D47" s="20"/>
      <c r="E47" s="20"/>
      <c r="F47" s="20"/>
      <c r="G47" s="266"/>
      <c r="H47" s="20"/>
      <c r="I47" s="20"/>
      <c r="J47" s="20"/>
      <c r="K47" s="20"/>
      <c r="L47" s="266"/>
      <c r="M47" s="20"/>
      <c r="N47" s="20"/>
      <c r="O47" s="20"/>
      <c r="P47" s="20"/>
      <c r="Q47" s="266"/>
      <c r="R47" s="20"/>
      <c r="S47" s="20"/>
      <c r="T47" s="20"/>
      <c r="U47" s="20"/>
      <c r="V47" s="266"/>
      <c r="W47" s="20"/>
      <c r="X47" s="20"/>
      <c r="Y47" s="20"/>
      <c r="Z47" s="20"/>
      <c r="AA47" s="266"/>
      <c r="AB47" s="20"/>
      <c r="AC47" s="20"/>
      <c r="AD47" s="20"/>
      <c r="AE47" s="20"/>
      <c r="AF47" s="266"/>
      <c r="AG47" s="20"/>
    </row>
    <row r="48" spans="2:33" x14ac:dyDescent="0.3">
      <c r="B48" s="20"/>
      <c r="C48" s="46"/>
      <c r="D48" s="20"/>
      <c r="E48" s="269"/>
      <c r="F48" s="269"/>
      <c r="G48" s="266"/>
      <c r="H48" s="20"/>
      <c r="I48" s="20"/>
      <c r="J48" s="269"/>
      <c r="K48" s="269"/>
      <c r="L48" s="266"/>
      <c r="M48" s="20"/>
      <c r="N48" s="20"/>
      <c r="O48" s="269"/>
      <c r="P48" s="269"/>
      <c r="Q48" s="266"/>
      <c r="R48" s="20"/>
      <c r="S48" s="20"/>
      <c r="T48" s="269"/>
      <c r="U48" s="269"/>
      <c r="V48" s="266"/>
      <c r="W48" s="20"/>
      <c r="X48" s="20"/>
      <c r="Y48" s="269"/>
      <c r="Z48" s="269"/>
      <c r="AA48" s="266"/>
      <c r="AB48" s="20"/>
      <c r="AC48" s="20"/>
      <c r="AD48" s="269"/>
      <c r="AE48" s="269"/>
      <c r="AF48" s="266"/>
      <c r="AG48" s="20"/>
    </row>
    <row r="49" spans="2:33" ht="16" x14ac:dyDescent="0.3">
      <c r="B49" s="85"/>
      <c r="C49" s="100" t="s">
        <v>282</v>
      </c>
      <c r="D49" s="352">
        <f>SUM(D43:D48)</f>
        <v>0</v>
      </c>
      <c r="E49" s="352">
        <f t="shared" ref="E49:M49" si="20">SUM(E43:E48)</f>
        <v>5975.0709457495195</v>
      </c>
      <c r="F49" s="352">
        <f t="shared" si="20"/>
        <v>0</v>
      </c>
      <c r="G49" s="352">
        <f t="shared" si="20"/>
        <v>0</v>
      </c>
      <c r="H49" s="352">
        <f t="shared" si="20"/>
        <v>5975.0709457495195</v>
      </c>
      <c r="I49" s="352">
        <f t="shared" si="20"/>
        <v>5975.0709457495195</v>
      </c>
      <c r="J49" s="352">
        <f t="shared" si="20"/>
        <v>0</v>
      </c>
      <c r="K49" s="352">
        <f t="shared" si="20"/>
        <v>0</v>
      </c>
      <c r="L49" s="352">
        <f t="shared" si="20"/>
        <v>0</v>
      </c>
      <c r="M49" s="352">
        <f t="shared" si="20"/>
        <v>5656.8714323505465</v>
      </c>
      <c r="N49" s="352">
        <f t="shared" ref="N49:AG49" si="21">SUM(N43:N48)</f>
        <v>5656.8714323505465</v>
      </c>
      <c r="O49" s="352">
        <f t="shared" si="21"/>
        <v>0</v>
      </c>
      <c r="P49" s="352">
        <f t="shared" si="21"/>
        <v>0</v>
      </c>
      <c r="Q49" s="352">
        <f t="shared" si="21"/>
        <v>0</v>
      </c>
      <c r="R49" s="352">
        <f t="shared" si="21"/>
        <v>5338.6719189515734</v>
      </c>
      <c r="S49" s="352">
        <f t="shared" si="21"/>
        <v>5338.6719189515734</v>
      </c>
      <c r="T49" s="352">
        <f t="shared" si="21"/>
        <v>0</v>
      </c>
      <c r="U49" s="352">
        <f t="shared" si="21"/>
        <v>0</v>
      </c>
      <c r="V49" s="352">
        <f t="shared" si="21"/>
        <v>0</v>
      </c>
      <c r="W49" s="352">
        <f t="shared" si="21"/>
        <v>5020.4724055526003</v>
      </c>
      <c r="X49" s="352">
        <f t="shared" si="21"/>
        <v>5020.4724055526003</v>
      </c>
      <c r="Y49" s="352">
        <f t="shared" si="21"/>
        <v>0</v>
      </c>
      <c r="Z49" s="352">
        <f t="shared" si="21"/>
        <v>0</v>
      </c>
      <c r="AA49" s="352">
        <f t="shared" si="21"/>
        <v>0</v>
      </c>
      <c r="AB49" s="352">
        <f t="shared" si="21"/>
        <v>4702.2728921536273</v>
      </c>
      <c r="AC49" s="352">
        <f t="shared" si="21"/>
        <v>4702.2728921536273</v>
      </c>
      <c r="AD49" s="352">
        <f t="shared" si="21"/>
        <v>0</v>
      </c>
      <c r="AE49" s="352">
        <f t="shared" si="21"/>
        <v>0</v>
      </c>
      <c r="AF49" s="352">
        <f t="shared" si="21"/>
        <v>0</v>
      </c>
      <c r="AG49" s="352">
        <f t="shared" si="21"/>
        <v>4384.0733787546533</v>
      </c>
    </row>
    <row r="50" spans="2:33" x14ac:dyDescent="0.3">
      <c r="B50" s="274"/>
      <c r="C50" s="77"/>
      <c r="D50" s="77"/>
      <c r="E50" s="77"/>
      <c r="F50" s="77"/>
    </row>
  </sheetData>
  <mergeCells count="46">
    <mergeCell ref="B4:M4"/>
    <mergeCell ref="B5:M5"/>
    <mergeCell ref="B6:M6"/>
    <mergeCell ref="B7:M7"/>
    <mergeCell ref="B40:B42"/>
    <mergeCell ref="C40:C42"/>
    <mergeCell ref="D41:H41"/>
    <mergeCell ref="I26:M26"/>
    <mergeCell ref="D27:H27"/>
    <mergeCell ref="I27:M27"/>
    <mergeCell ref="I41:M41"/>
    <mergeCell ref="B10:B12"/>
    <mergeCell ref="C10:C12"/>
    <mergeCell ref="D11:H11"/>
    <mergeCell ref="I11:M11"/>
    <mergeCell ref="D10:H10"/>
    <mergeCell ref="I10:M10"/>
    <mergeCell ref="D40:H40"/>
    <mergeCell ref="I40:M40"/>
    <mergeCell ref="B26:B28"/>
    <mergeCell ref="C26:C28"/>
    <mergeCell ref="D26:H26"/>
    <mergeCell ref="AC10:AG10"/>
    <mergeCell ref="AC11:AG11"/>
    <mergeCell ref="N26:R26"/>
    <mergeCell ref="N27:R27"/>
    <mergeCell ref="S26:W26"/>
    <mergeCell ref="S27:W27"/>
    <mergeCell ref="X26:AB26"/>
    <mergeCell ref="X27:AB27"/>
    <mergeCell ref="AC26:AG26"/>
    <mergeCell ref="AC27:AG27"/>
    <mergeCell ref="N10:R10"/>
    <mergeCell ref="N11:R11"/>
    <mergeCell ref="S10:W10"/>
    <mergeCell ref="S11:W11"/>
    <mergeCell ref="X10:AB10"/>
    <mergeCell ref="X11:AB11"/>
    <mergeCell ref="AC40:AG40"/>
    <mergeCell ref="AC41:AG41"/>
    <mergeCell ref="N40:R40"/>
    <mergeCell ref="N41:R41"/>
    <mergeCell ref="S40:W40"/>
    <mergeCell ref="S41:W41"/>
    <mergeCell ref="X40:AB40"/>
    <mergeCell ref="X41:AB41"/>
  </mergeCells>
  <pageMargins left="0.27559055118110237" right="0.23622047244094491" top="0.23622047244094491" bottom="0.23622047244094491" header="0.23622047244094491" footer="0.23622047244094491"/>
  <pageSetup paperSize="9" scale="42" orientation="landscape" r:id="rId1"/>
  <headerFooter alignWithMargins="0">
    <oddHeader>&amp;F</oddHeader>
  </headerFooter>
  <rowBreaks count="2" manualBreakCount="2">
    <brk id="21" max="22" man="1"/>
    <brk id="37" max="2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2:J112"/>
  <sheetViews>
    <sheetView showGridLines="0" view="pageBreakPreview" zoomScale="60" zoomScaleNormal="75" workbookViewId="0">
      <selection activeCell="D24" sqref="D24"/>
    </sheetView>
  </sheetViews>
  <sheetFormatPr defaultColWidth="9.1796875" defaultRowHeight="14" x14ac:dyDescent="0.25"/>
  <cols>
    <col min="1" max="1" width="6.81640625" style="24" customWidth="1"/>
    <col min="2" max="2" width="7" style="101" customWidth="1"/>
    <col min="3" max="3" width="80" style="24" customWidth="1"/>
    <col min="4" max="4" width="16.54296875" style="24" customWidth="1"/>
    <col min="5" max="11" width="18.7265625" style="24" customWidth="1"/>
    <col min="12" max="16384" width="9.1796875" style="24"/>
  </cols>
  <sheetData>
    <row r="2" spans="2:10" x14ac:dyDescent="0.25">
      <c r="C2" s="447" t="s">
        <v>628</v>
      </c>
      <c r="D2" s="447"/>
      <c r="E2" s="447"/>
      <c r="F2" s="447"/>
      <c r="G2" s="447"/>
      <c r="H2" s="447"/>
      <c r="I2" s="447"/>
      <c r="J2" s="447"/>
    </row>
    <row r="3" spans="2:10" s="9" customFormat="1" x14ac:dyDescent="0.3">
      <c r="B3" s="55"/>
      <c r="C3" s="537" t="s">
        <v>570</v>
      </c>
      <c r="D3" s="537"/>
      <c r="E3" s="537"/>
      <c r="F3" s="537"/>
      <c r="G3" s="537"/>
      <c r="H3" s="537"/>
      <c r="I3" s="537"/>
      <c r="J3" s="537"/>
    </row>
    <row r="4" spans="2:10" s="9" customFormat="1" x14ac:dyDescent="0.3">
      <c r="B4" s="55"/>
      <c r="C4" s="530" t="s">
        <v>64</v>
      </c>
      <c r="D4" s="530"/>
      <c r="E4" s="530"/>
      <c r="F4" s="530"/>
      <c r="G4" s="530"/>
      <c r="H4" s="530"/>
      <c r="I4" s="530"/>
      <c r="J4" s="530"/>
    </row>
    <row r="5" spans="2:10" s="9" customFormat="1" x14ac:dyDescent="0.3">
      <c r="B5" s="55"/>
      <c r="C5" s="530" t="s">
        <v>629</v>
      </c>
      <c r="D5" s="530"/>
      <c r="E5" s="530"/>
      <c r="F5" s="530"/>
      <c r="G5" s="530"/>
      <c r="H5" s="530"/>
      <c r="I5" s="530"/>
      <c r="J5" s="530"/>
    </row>
    <row r="6" spans="2:10" s="9" customFormat="1" x14ac:dyDescent="0.3">
      <c r="B6" s="55"/>
      <c r="C6" s="28"/>
      <c r="D6" s="27"/>
    </row>
    <row r="7" spans="2:10" s="9" customFormat="1" x14ac:dyDescent="0.3">
      <c r="B7" s="55"/>
      <c r="C7" s="28"/>
      <c r="D7" s="27"/>
    </row>
    <row r="8" spans="2:10" s="9" customFormat="1" ht="17.5" x14ac:dyDescent="0.3">
      <c r="B8" s="55"/>
      <c r="C8" s="104" t="s">
        <v>414</v>
      </c>
      <c r="D8" s="27"/>
    </row>
    <row r="9" spans="2:10" s="9" customFormat="1" x14ac:dyDescent="0.3">
      <c r="B9" s="55"/>
      <c r="C9" s="28"/>
      <c r="D9" s="55"/>
      <c r="J9" s="284" t="s">
        <v>16</v>
      </c>
    </row>
    <row r="10" spans="2:10" x14ac:dyDescent="0.25">
      <c r="B10" s="452" t="s">
        <v>354</v>
      </c>
      <c r="C10" s="452" t="s">
        <v>39</v>
      </c>
      <c r="D10" s="298" t="str">
        <f>'F1'!$E$7</f>
        <v>FY 2024-25</v>
      </c>
      <c r="E10" s="298" t="str">
        <f>'F1'!$F$7</f>
        <v>FY 2025-26</v>
      </c>
      <c r="F10" s="298" t="str">
        <f>'F1'!$G$7</f>
        <v>FY 2026-27</v>
      </c>
      <c r="G10" s="298" t="str">
        <f>'F1'!$H$7</f>
        <v>FY 2027-28</v>
      </c>
      <c r="H10" s="298" t="str">
        <f>'F1'!$I$7</f>
        <v>FY 2028-29</v>
      </c>
      <c r="I10" s="298" t="str">
        <f>'F1'!$J$7</f>
        <v>FY 2029-30</v>
      </c>
      <c r="J10" s="458" t="s">
        <v>40</v>
      </c>
    </row>
    <row r="11" spans="2:10" ht="28" x14ac:dyDescent="0.25">
      <c r="B11" s="452"/>
      <c r="C11" s="452"/>
      <c r="D11" s="286" t="s">
        <v>569</v>
      </c>
      <c r="E11" s="286" t="s">
        <v>569</v>
      </c>
      <c r="F11" s="400" t="str">
        <f>'F1'!$G$8</f>
        <v>Projection</v>
      </c>
      <c r="G11" s="400" t="str">
        <f>'F1'!$H$8</f>
        <v>Projection</v>
      </c>
      <c r="H11" s="400" t="str">
        <f>'F1'!$I$8</f>
        <v>Projection</v>
      </c>
      <c r="I11" s="400" t="str">
        <f>'F1'!$J$8</f>
        <v>Projection</v>
      </c>
      <c r="J11" s="458"/>
    </row>
    <row r="12" spans="2:10" x14ac:dyDescent="0.3">
      <c r="B12" s="102">
        <v>1</v>
      </c>
      <c r="C12" s="34" t="s">
        <v>408</v>
      </c>
      <c r="D12" s="344"/>
      <c r="E12" s="41"/>
      <c r="F12" s="41"/>
      <c r="G12" s="41"/>
      <c r="H12" s="41"/>
      <c r="I12" s="41"/>
      <c r="J12" s="32"/>
    </row>
    <row r="13" spans="2:10" x14ac:dyDescent="0.3">
      <c r="B13" s="102">
        <f>B12+1</f>
        <v>2</v>
      </c>
      <c r="C13" s="34" t="s">
        <v>409</v>
      </c>
      <c r="D13" s="41"/>
      <c r="E13" s="41"/>
      <c r="F13" s="41"/>
      <c r="G13" s="41"/>
      <c r="H13" s="41"/>
      <c r="I13" s="41"/>
      <c r="J13" s="32"/>
    </row>
    <row r="14" spans="2:10" x14ac:dyDescent="0.3">
      <c r="B14" s="102">
        <f t="shared" ref="B14:B19" si="0">B13+1</f>
        <v>3</v>
      </c>
      <c r="C14" s="34" t="s">
        <v>410</v>
      </c>
      <c r="D14" s="332"/>
      <c r="E14" s="332">
        <f>D18</f>
        <v>4769.7697586321965</v>
      </c>
      <c r="F14" s="332">
        <f t="shared" ref="F14:I14" si="1">E18</f>
        <v>4451.5702452332234</v>
      </c>
      <c r="G14" s="332">
        <f t="shared" si="1"/>
        <v>4133.3707318342504</v>
      </c>
      <c r="H14" s="332">
        <f t="shared" si="1"/>
        <v>3815.1712184352773</v>
      </c>
      <c r="I14" s="332">
        <f t="shared" si="1"/>
        <v>3496.9717050363042</v>
      </c>
      <c r="J14" s="32"/>
    </row>
    <row r="15" spans="2:10" x14ac:dyDescent="0.3">
      <c r="B15" s="102">
        <f t="shared" si="0"/>
        <v>4</v>
      </c>
      <c r="C15" s="34" t="s">
        <v>411</v>
      </c>
      <c r="D15" s="332"/>
      <c r="E15" s="332"/>
      <c r="F15" s="332"/>
      <c r="G15" s="332"/>
      <c r="H15" s="332"/>
      <c r="I15" s="332"/>
      <c r="J15" s="32"/>
    </row>
    <row r="16" spans="2:10" x14ac:dyDescent="0.3">
      <c r="B16" s="102">
        <f t="shared" si="0"/>
        <v>5</v>
      </c>
      <c r="C16" s="34" t="s">
        <v>464</v>
      </c>
      <c r="D16" s="332">
        <f>'F5'!E13*0.8</f>
        <v>4821.2047484692912</v>
      </c>
      <c r="E16" s="332"/>
      <c r="F16" s="332"/>
      <c r="G16" s="332"/>
      <c r="H16" s="332"/>
      <c r="I16" s="332"/>
      <c r="J16" s="32"/>
    </row>
    <row r="17" spans="2:10" x14ac:dyDescent="0.3">
      <c r="B17" s="102">
        <f t="shared" si="0"/>
        <v>6</v>
      </c>
      <c r="C17" s="34" t="s">
        <v>418</v>
      </c>
      <c r="D17" s="332">
        <f>'F5'!E29</f>
        <v>51.4349898370943</v>
      </c>
      <c r="E17" s="332">
        <f>'F5'!$J$29</f>
        <v>318.19951339897324</v>
      </c>
      <c r="F17" s="332">
        <f>'F5'!$J$29</f>
        <v>318.19951339897324</v>
      </c>
      <c r="G17" s="332">
        <f>'F5'!$J$29</f>
        <v>318.19951339897324</v>
      </c>
      <c r="H17" s="332">
        <f>'F5'!$J$29</f>
        <v>318.19951339897324</v>
      </c>
      <c r="I17" s="332">
        <f>'F5'!$J$29</f>
        <v>318.19951339897324</v>
      </c>
      <c r="J17" s="32"/>
    </row>
    <row r="18" spans="2:10" x14ac:dyDescent="0.3">
      <c r="B18" s="102">
        <f t="shared" si="0"/>
        <v>7</v>
      </c>
      <c r="C18" s="34" t="s">
        <v>412</v>
      </c>
      <c r="D18" s="332">
        <f>D14-D15+D16-D17</f>
        <v>4769.7697586321965</v>
      </c>
      <c r="E18" s="332">
        <f>E14-E15+E16-E17</f>
        <v>4451.5702452332234</v>
      </c>
      <c r="F18" s="332">
        <f t="shared" ref="F18:I18" si="2">F14-F15+F16-F17</f>
        <v>4133.3707318342504</v>
      </c>
      <c r="G18" s="332">
        <f t="shared" si="2"/>
        <v>3815.1712184352773</v>
      </c>
      <c r="H18" s="332">
        <f t="shared" si="2"/>
        <v>3496.9717050363042</v>
      </c>
      <c r="I18" s="332">
        <f t="shared" si="2"/>
        <v>3178.7721916373312</v>
      </c>
      <c r="J18" s="32"/>
    </row>
    <row r="19" spans="2:10" x14ac:dyDescent="0.3">
      <c r="B19" s="102">
        <f t="shared" si="0"/>
        <v>8</v>
      </c>
      <c r="C19" s="34" t="s">
        <v>413</v>
      </c>
      <c r="D19" s="41"/>
      <c r="E19" s="41"/>
      <c r="F19" s="41"/>
      <c r="G19" s="41"/>
      <c r="H19" s="41"/>
      <c r="I19" s="41"/>
      <c r="J19" s="32"/>
    </row>
    <row r="20" spans="2:10" x14ac:dyDescent="0.3">
      <c r="B20" s="102">
        <v>9</v>
      </c>
      <c r="C20" s="34" t="s">
        <v>468</v>
      </c>
      <c r="D20" s="345">
        <f>AVERAGE(D14,D18)</f>
        <v>4769.7697586321965</v>
      </c>
      <c r="E20" s="345">
        <f>AVERAGE(E14,E18)</f>
        <v>4610.67000193271</v>
      </c>
      <c r="F20" s="345">
        <f t="shared" ref="F20:I20" si="3">AVERAGE(F14,F18)</f>
        <v>4292.4704885337369</v>
      </c>
      <c r="G20" s="345">
        <f t="shared" si="3"/>
        <v>3974.2709751347638</v>
      </c>
      <c r="H20" s="345">
        <f t="shared" si="3"/>
        <v>3656.0714617357908</v>
      </c>
      <c r="I20" s="345">
        <f t="shared" si="3"/>
        <v>3337.8719483368177</v>
      </c>
      <c r="J20" s="32"/>
    </row>
    <row r="21" spans="2:10" ht="15.5" x14ac:dyDescent="0.35">
      <c r="B21" s="102">
        <v>10</v>
      </c>
      <c r="C21" s="211" t="s">
        <v>465</v>
      </c>
      <c r="D21" s="411">
        <v>9.2032400029727929E-2</v>
      </c>
      <c r="E21" s="411">
        <v>9.2032400029727929E-2</v>
      </c>
      <c r="F21" s="411">
        <v>9.2032400029727929E-2</v>
      </c>
      <c r="G21" s="411">
        <v>9.2032400029727929E-2</v>
      </c>
      <c r="H21" s="411">
        <v>9.2032400029727929E-2</v>
      </c>
      <c r="I21" s="411">
        <v>9.2032400029727929E-2</v>
      </c>
      <c r="J21" s="32"/>
    </row>
    <row r="22" spans="2:10" ht="15.5" x14ac:dyDescent="0.35">
      <c r="B22" s="102">
        <v>11</v>
      </c>
      <c r="C22" s="211" t="s">
        <v>45</v>
      </c>
      <c r="D22" s="345">
        <f>D20*D21/365*(28+31)</f>
        <v>70.957337397512589</v>
      </c>
      <c r="E22" s="345">
        <f t="shared" ref="E22:I22" si="4">E20*E21</f>
        <v>424.33102602293758</v>
      </c>
      <c r="F22" s="345">
        <f t="shared" si="4"/>
        <v>395.04636111653855</v>
      </c>
      <c r="G22" s="345">
        <f t="shared" si="4"/>
        <v>365.76169621013946</v>
      </c>
      <c r="H22" s="345">
        <f t="shared" si="4"/>
        <v>336.47703130374043</v>
      </c>
      <c r="I22" s="345">
        <f t="shared" si="4"/>
        <v>307.19236639734135</v>
      </c>
      <c r="J22" s="32"/>
    </row>
    <row r="23" spans="2:10" x14ac:dyDescent="0.3">
      <c r="B23" s="102">
        <v>12</v>
      </c>
      <c r="C23" s="34" t="s">
        <v>415</v>
      </c>
      <c r="D23" s="41"/>
      <c r="E23" s="41"/>
      <c r="F23" s="41"/>
      <c r="G23" s="41"/>
      <c r="H23" s="41"/>
      <c r="I23" s="41"/>
      <c r="J23" s="32"/>
    </row>
    <row r="24" spans="2:10" x14ac:dyDescent="0.3">
      <c r="B24" s="103">
        <v>13</v>
      </c>
      <c r="C24" s="33" t="s">
        <v>466</v>
      </c>
      <c r="D24" s="346">
        <f>SUM(D22:D23)</f>
        <v>70.957337397512589</v>
      </c>
      <c r="E24" s="346">
        <f>SUM(E22:E23)</f>
        <v>424.33102602293758</v>
      </c>
      <c r="F24" s="346">
        <f t="shared" ref="F24:I24" si="5">SUM(F22:F23)</f>
        <v>395.04636111653855</v>
      </c>
      <c r="G24" s="346">
        <f t="shared" si="5"/>
        <v>365.76169621013946</v>
      </c>
      <c r="H24" s="346">
        <f t="shared" si="5"/>
        <v>336.47703130374043</v>
      </c>
      <c r="I24" s="346">
        <f t="shared" si="5"/>
        <v>307.19236639734135</v>
      </c>
      <c r="J24" s="32"/>
    </row>
    <row r="25" spans="2:10" s="9" customFormat="1" x14ac:dyDescent="0.3">
      <c r="B25" s="55"/>
      <c r="C25" s="28"/>
      <c r="D25" s="27"/>
    </row>
    <row r="26" spans="2:10" ht="17.5" x14ac:dyDescent="0.25">
      <c r="C26" s="104" t="s">
        <v>467</v>
      </c>
    </row>
    <row r="27" spans="2:10" x14ac:dyDescent="0.25">
      <c r="J27" s="29" t="s">
        <v>16</v>
      </c>
    </row>
    <row r="28" spans="2:10" x14ac:dyDescent="0.25">
      <c r="B28" s="452" t="s">
        <v>354</v>
      </c>
      <c r="C28" s="452" t="s">
        <v>39</v>
      </c>
      <c r="D28" s="298" t="str">
        <f>'F1'!$E$7</f>
        <v>FY 2024-25</v>
      </c>
      <c r="E28" s="298" t="str">
        <f>'F1'!$F$7</f>
        <v>FY 2025-26</v>
      </c>
      <c r="F28" s="298" t="str">
        <f>'F1'!$G$7</f>
        <v>FY 2026-27</v>
      </c>
      <c r="G28" s="298" t="str">
        <f>'F1'!$H$7</f>
        <v>FY 2027-28</v>
      </c>
      <c r="H28" s="298" t="str">
        <f>'F1'!$I$7</f>
        <v>FY 2028-29</v>
      </c>
      <c r="I28" s="298" t="str">
        <f>'F1'!$J$7</f>
        <v>FY 2029-30</v>
      </c>
      <c r="J28" s="458" t="s">
        <v>40</v>
      </c>
    </row>
    <row r="29" spans="2:10" ht="28" x14ac:dyDescent="0.25">
      <c r="B29" s="452"/>
      <c r="C29" s="452"/>
      <c r="D29" s="286" t="s">
        <v>569</v>
      </c>
      <c r="E29" s="286" t="s">
        <v>569</v>
      </c>
      <c r="F29" s="400" t="str">
        <f>'F1'!$G$8</f>
        <v>Projection</v>
      </c>
      <c r="G29" s="400" t="str">
        <f>'F1'!$H$8</f>
        <v>Projection</v>
      </c>
      <c r="H29" s="400" t="str">
        <f>'F1'!$I$8</f>
        <v>Projection</v>
      </c>
      <c r="I29" s="400" t="str">
        <f>'F1'!$J$8</f>
        <v>Projection</v>
      </c>
      <c r="J29" s="458"/>
    </row>
    <row r="30" spans="2:10" x14ac:dyDescent="0.3">
      <c r="B30" s="103">
        <v>1</v>
      </c>
      <c r="C30" s="33" t="s">
        <v>429</v>
      </c>
      <c r="D30" s="531" t="s">
        <v>652</v>
      </c>
      <c r="E30" s="532"/>
      <c r="F30" s="393"/>
      <c r="G30" s="393"/>
      <c r="H30" s="393"/>
      <c r="I30" s="393"/>
      <c r="J30" s="32"/>
    </row>
    <row r="31" spans="2:10" x14ac:dyDescent="0.3">
      <c r="B31" s="102">
        <v>1.1000000000000001</v>
      </c>
      <c r="C31" s="34" t="s">
        <v>41</v>
      </c>
      <c r="D31" s="533"/>
      <c r="E31" s="534"/>
      <c r="F31" s="394"/>
      <c r="G31" s="394"/>
      <c r="H31" s="394"/>
      <c r="I31" s="394"/>
      <c r="J31" s="32"/>
    </row>
    <row r="32" spans="2:10" x14ac:dyDescent="0.3">
      <c r="B32" s="102">
        <f t="shared" ref="B32:B38" si="6">B31+0.1</f>
        <v>1.2000000000000002</v>
      </c>
      <c r="C32" s="34" t="s">
        <v>411</v>
      </c>
      <c r="D32" s="533"/>
      <c r="E32" s="534"/>
      <c r="F32" s="394"/>
      <c r="G32" s="394"/>
      <c r="H32" s="394"/>
      <c r="I32" s="394"/>
      <c r="J32" s="32"/>
    </row>
    <row r="33" spans="2:10" x14ac:dyDescent="0.3">
      <c r="B33" s="102">
        <f t="shared" si="6"/>
        <v>1.3000000000000003</v>
      </c>
      <c r="C33" s="34" t="s">
        <v>353</v>
      </c>
      <c r="D33" s="533"/>
      <c r="E33" s="534"/>
      <c r="F33" s="394"/>
      <c r="G33" s="394"/>
      <c r="H33" s="394"/>
      <c r="I33" s="394"/>
      <c r="J33" s="32"/>
    </row>
    <row r="34" spans="2:10" x14ac:dyDescent="0.3">
      <c r="B34" s="102">
        <f t="shared" si="6"/>
        <v>1.4000000000000004</v>
      </c>
      <c r="C34" s="34" t="s">
        <v>42</v>
      </c>
      <c r="D34" s="533"/>
      <c r="E34" s="534"/>
      <c r="F34" s="394"/>
      <c r="G34" s="394"/>
      <c r="H34" s="394"/>
      <c r="I34" s="394"/>
      <c r="J34" s="32"/>
    </row>
    <row r="35" spans="2:10" x14ac:dyDescent="0.3">
      <c r="B35" s="102">
        <f t="shared" si="6"/>
        <v>1.5000000000000004</v>
      </c>
      <c r="C35" s="34" t="s">
        <v>43</v>
      </c>
      <c r="D35" s="533"/>
      <c r="E35" s="534"/>
      <c r="F35" s="394"/>
      <c r="G35" s="394"/>
      <c r="H35" s="394"/>
      <c r="I35" s="394"/>
      <c r="J35" s="32"/>
    </row>
    <row r="36" spans="2:10" x14ac:dyDescent="0.3">
      <c r="B36" s="102">
        <f t="shared" si="6"/>
        <v>1.6000000000000005</v>
      </c>
      <c r="C36" s="34" t="s">
        <v>469</v>
      </c>
      <c r="D36" s="533"/>
      <c r="E36" s="534"/>
      <c r="F36" s="394"/>
      <c r="G36" s="394"/>
      <c r="H36" s="394"/>
      <c r="I36" s="394"/>
      <c r="J36" s="32"/>
    </row>
    <row r="37" spans="2:10" x14ac:dyDescent="0.3">
      <c r="B37" s="102">
        <f t="shared" si="6"/>
        <v>1.7000000000000006</v>
      </c>
      <c r="C37" s="34" t="s">
        <v>44</v>
      </c>
      <c r="D37" s="533"/>
      <c r="E37" s="534"/>
      <c r="F37" s="394"/>
      <c r="G37" s="394"/>
      <c r="H37" s="394"/>
      <c r="I37" s="394"/>
      <c r="J37" s="32"/>
    </row>
    <row r="38" spans="2:10" x14ac:dyDescent="0.3">
      <c r="B38" s="102">
        <f t="shared" si="6"/>
        <v>1.8000000000000007</v>
      </c>
      <c r="C38" s="34" t="s">
        <v>45</v>
      </c>
      <c r="D38" s="533"/>
      <c r="E38" s="534"/>
      <c r="F38" s="394"/>
      <c r="G38" s="394"/>
      <c r="H38" s="394"/>
      <c r="I38" s="394"/>
      <c r="J38" s="32"/>
    </row>
    <row r="39" spans="2:10" x14ac:dyDescent="0.3">
      <c r="B39" s="102"/>
      <c r="C39" s="34"/>
      <c r="D39" s="533"/>
      <c r="E39" s="534"/>
      <c r="F39" s="394"/>
      <c r="G39" s="394"/>
      <c r="H39" s="394"/>
      <c r="I39" s="394"/>
      <c r="J39" s="32"/>
    </row>
    <row r="40" spans="2:10" x14ac:dyDescent="0.3">
      <c r="B40" s="103">
        <v>2</v>
      </c>
      <c r="C40" s="33" t="s">
        <v>428</v>
      </c>
      <c r="D40" s="533"/>
      <c r="E40" s="534"/>
      <c r="F40" s="394"/>
      <c r="G40" s="394"/>
      <c r="H40" s="394"/>
      <c r="I40" s="394"/>
      <c r="J40" s="32"/>
    </row>
    <row r="41" spans="2:10" x14ac:dyDescent="0.3">
      <c r="B41" s="102">
        <f t="shared" ref="B41:B47" si="7">B40+0.1</f>
        <v>2.1</v>
      </c>
      <c r="C41" s="34" t="s">
        <v>41</v>
      </c>
      <c r="D41" s="533"/>
      <c r="E41" s="534"/>
      <c r="F41" s="394"/>
      <c r="G41" s="394"/>
      <c r="H41" s="394"/>
      <c r="I41" s="394"/>
      <c r="J41" s="32"/>
    </row>
    <row r="42" spans="2:10" x14ac:dyDescent="0.3">
      <c r="B42" s="102">
        <f t="shared" si="7"/>
        <v>2.2000000000000002</v>
      </c>
      <c r="C42" s="34" t="s">
        <v>411</v>
      </c>
      <c r="D42" s="533"/>
      <c r="E42" s="534"/>
      <c r="F42" s="394"/>
      <c r="G42" s="394"/>
      <c r="H42" s="394"/>
      <c r="I42" s="394"/>
      <c r="J42" s="32"/>
    </row>
    <row r="43" spans="2:10" x14ac:dyDescent="0.3">
      <c r="B43" s="102">
        <f t="shared" si="7"/>
        <v>2.3000000000000003</v>
      </c>
      <c r="C43" s="34" t="s">
        <v>42</v>
      </c>
      <c r="D43" s="533"/>
      <c r="E43" s="534"/>
      <c r="F43" s="394"/>
      <c r="G43" s="394"/>
      <c r="H43" s="394"/>
      <c r="I43" s="394"/>
      <c r="J43" s="32"/>
    </row>
    <row r="44" spans="2:10" x14ac:dyDescent="0.3">
      <c r="B44" s="102">
        <f t="shared" si="7"/>
        <v>2.4000000000000004</v>
      </c>
      <c r="C44" s="34" t="s">
        <v>43</v>
      </c>
      <c r="D44" s="533"/>
      <c r="E44" s="534"/>
      <c r="F44" s="394"/>
      <c r="G44" s="394"/>
      <c r="H44" s="394"/>
      <c r="I44" s="394"/>
      <c r="J44" s="32"/>
    </row>
    <row r="45" spans="2:10" x14ac:dyDescent="0.3">
      <c r="B45" s="102">
        <f t="shared" si="7"/>
        <v>2.5000000000000004</v>
      </c>
      <c r="C45" s="34" t="s">
        <v>469</v>
      </c>
      <c r="D45" s="533"/>
      <c r="E45" s="534"/>
      <c r="F45" s="394"/>
      <c r="G45" s="394"/>
      <c r="H45" s="394"/>
      <c r="I45" s="394"/>
      <c r="J45" s="32"/>
    </row>
    <row r="46" spans="2:10" x14ac:dyDescent="0.3">
      <c r="B46" s="102">
        <f t="shared" si="7"/>
        <v>2.6000000000000005</v>
      </c>
      <c r="C46" s="34" t="s">
        <v>44</v>
      </c>
      <c r="D46" s="533"/>
      <c r="E46" s="534"/>
      <c r="F46" s="394"/>
      <c r="G46" s="394"/>
      <c r="H46" s="394"/>
      <c r="I46" s="394"/>
      <c r="J46" s="32"/>
    </row>
    <row r="47" spans="2:10" x14ac:dyDescent="0.3">
      <c r="B47" s="102">
        <f t="shared" si="7"/>
        <v>2.7000000000000006</v>
      </c>
      <c r="C47" s="34" t="s">
        <v>45</v>
      </c>
      <c r="D47" s="533"/>
      <c r="E47" s="534"/>
      <c r="F47" s="394"/>
      <c r="G47" s="394"/>
      <c r="H47" s="394"/>
      <c r="I47" s="394"/>
      <c r="J47" s="32"/>
    </row>
    <row r="48" spans="2:10" x14ac:dyDescent="0.3">
      <c r="B48" s="102"/>
      <c r="C48" s="34"/>
      <c r="D48" s="533"/>
      <c r="E48" s="534"/>
      <c r="F48" s="394"/>
      <c r="G48" s="394"/>
      <c r="H48" s="394"/>
      <c r="I48" s="394"/>
      <c r="J48" s="32"/>
    </row>
    <row r="49" spans="2:10" x14ac:dyDescent="0.3">
      <c r="B49" s="103">
        <v>3</v>
      </c>
      <c r="C49" s="33" t="s">
        <v>488</v>
      </c>
      <c r="D49" s="533"/>
      <c r="E49" s="534"/>
      <c r="F49" s="394"/>
      <c r="G49" s="394"/>
      <c r="H49" s="394"/>
      <c r="I49" s="394"/>
      <c r="J49" s="32"/>
    </row>
    <row r="50" spans="2:10" x14ac:dyDescent="0.3">
      <c r="B50" s="102"/>
      <c r="C50" s="34" t="s">
        <v>37</v>
      </c>
      <c r="D50" s="533"/>
      <c r="E50" s="534"/>
      <c r="F50" s="394"/>
      <c r="G50" s="394"/>
      <c r="H50" s="394"/>
      <c r="I50" s="394"/>
      <c r="J50" s="32"/>
    </row>
    <row r="51" spans="2:10" x14ac:dyDescent="0.3">
      <c r="B51" s="102"/>
      <c r="C51" s="34" t="s">
        <v>37</v>
      </c>
      <c r="D51" s="533"/>
      <c r="E51" s="534"/>
      <c r="F51" s="394"/>
      <c r="G51" s="394"/>
      <c r="H51" s="394"/>
      <c r="I51" s="394"/>
      <c r="J51" s="32"/>
    </row>
    <row r="52" spans="2:10" x14ac:dyDescent="0.3">
      <c r="B52" s="102"/>
      <c r="C52" s="34" t="s">
        <v>37</v>
      </c>
      <c r="D52" s="533"/>
      <c r="E52" s="534"/>
      <c r="F52" s="394"/>
      <c r="G52" s="394"/>
      <c r="H52" s="394"/>
      <c r="I52" s="394"/>
      <c r="J52" s="32"/>
    </row>
    <row r="53" spans="2:10" x14ac:dyDescent="0.3">
      <c r="B53" s="102"/>
      <c r="C53" s="34"/>
      <c r="D53" s="533"/>
      <c r="E53" s="534"/>
      <c r="F53" s="394"/>
      <c r="G53" s="394"/>
      <c r="H53" s="394"/>
      <c r="I53" s="394"/>
      <c r="J53" s="32"/>
    </row>
    <row r="54" spans="2:10" x14ac:dyDescent="0.3">
      <c r="B54" s="103">
        <v>10</v>
      </c>
      <c r="C54" s="33" t="s">
        <v>282</v>
      </c>
      <c r="D54" s="533"/>
      <c r="E54" s="534"/>
      <c r="F54" s="394"/>
      <c r="G54" s="394"/>
      <c r="H54" s="394"/>
      <c r="I54" s="394"/>
      <c r="J54" s="32"/>
    </row>
    <row r="55" spans="2:10" x14ac:dyDescent="0.3">
      <c r="B55" s="102">
        <f t="shared" ref="B55:B61" si="8">B54+0.1</f>
        <v>10.1</v>
      </c>
      <c r="C55" s="34" t="s">
        <v>41</v>
      </c>
      <c r="D55" s="533"/>
      <c r="E55" s="534"/>
      <c r="F55" s="394"/>
      <c r="G55" s="394"/>
      <c r="H55" s="394"/>
      <c r="I55" s="394"/>
      <c r="J55" s="32"/>
    </row>
    <row r="56" spans="2:10" x14ac:dyDescent="0.3">
      <c r="B56" s="102">
        <f t="shared" si="8"/>
        <v>10.199999999999999</v>
      </c>
      <c r="C56" s="34" t="s">
        <v>411</v>
      </c>
      <c r="D56" s="533"/>
      <c r="E56" s="534"/>
      <c r="F56" s="394"/>
      <c r="G56" s="394"/>
      <c r="H56" s="394"/>
      <c r="I56" s="394"/>
      <c r="J56" s="32"/>
    </row>
    <row r="57" spans="2:10" x14ac:dyDescent="0.3">
      <c r="B57" s="102">
        <f t="shared" si="8"/>
        <v>10.299999999999999</v>
      </c>
      <c r="C57" s="34" t="s">
        <v>42</v>
      </c>
      <c r="D57" s="533"/>
      <c r="E57" s="534"/>
      <c r="F57" s="394"/>
      <c r="G57" s="394"/>
      <c r="H57" s="394"/>
      <c r="I57" s="394"/>
      <c r="J57" s="32"/>
    </row>
    <row r="58" spans="2:10" x14ac:dyDescent="0.3">
      <c r="B58" s="102">
        <f t="shared" si="8"/>
        <v>10.399999999999999</v>
      </c>
      <c r="C58" s="34" t="s">
        <v>43</v>
      </c>
      <c r="D58" s="533"/>
      <c r="E58" s="534"/>
      <c r="F58" s="394"/>
      <c r="G58" s="394"/>
      <c r="H58" s="394"/>
      <c r="I58" s="394"/>
      <c r="J58" s="32"/>
    </row>
    <row r="59" spans="2:10" x14ac:dyDescent="0.3">
      <c r="B59" s="102">
        <f t="shared" si="8"/>
        <v>10.499999999999998</v>
      </c>
      <c r="C59" s="34" t="s">
        <v>469</v>
      </c>
      <c r="D59" s="533"/>
      <c r="E59" s="534"/>
      <c r="F59" s="394"/>
      <c r="G59" s="394"/>
      <c r="H59" s="394"/>
      <c r="I59" s="394"/>
      <c r="J59" s="32"/>
    </row>
    <row r="60" spans="2:10" x14ac:dyDescent="0.3">
      <c r="B60" s="102">
        <f t="shared" si="8"/>
        <v>10.599999999999998</v>
      </c>
      <c r="C60" s="34" t="s">
        <v>44</v>
      </c>
      <c r="D60" s="533"/>
      <c r="E60" s="534"/>
      <c r="F60" s="394"/>
      <c r="G60" s="394"/>
      <c r="H60" s="394"/>
      <c r="I60" s="394"/>
      <c r="J60" s="32"/>
    </row>
    <row r="61" spans="2:10" x14ac:dyDescent="0.3">
      <c r="B61" s="102">
        <f t="shared" si="8"/>
        <v>10.699999999999998</v>
      </c>
      <c r="C61" s="34" t="s">
        <v>45</v>
      </c>
      <c r="D61" s="533"/>
      <c r="E61" s="534"/>
      <c r="F61" s="394"/>
      <c r="G61" s="394"/>
      <c r="H61" s="394"/>
      <c r="I61" s="394"/>
      <c r="J61" s="32"/>
    </row>
    <row r="62" spans="2:10" x14ac:dyDescent="0.3">
      <c r="B62" s="102"/>
      <c r="C62" s="34"/>
      <c r="D62" s="533"/>
      <c r="E62" s="534"/>
      <c r="F62" s="394"/>
      <c r="G62" s="394"/>
      <c r="H62" s="394"/>
      <c r="I62" s="394"/>
      <c r="J62" s="32"/>
    </row>
    <row r="63" spans="2:10" x14ac:dyDescent="0.3">
      <c r="B63" s="102"/>
      <c r="C63" s="34"/>
      <c r="D63" s="533"/>
      <c r="E63" s="534"/>
      <c r="F63" s="394"/>
      <c r="G63" s="394"/>
      <c r="H63" s="394"/>
      <c r="I63" s="394"/>
      <c r="J63" s="32"/>
    </row>
    <row r="64" spans="2:10" x14ac:dyDescent="0.3">
      <c r="B64" s="102">
        <v>9</v>
      </c>
      <c r="C64" s="33" t="s">
        <v>46</v>
      </c>
      <c r="D64" s="533"/>
      <c r="E64" s="534"/>
      <c r="F64" s="394"/>
      <c r="G64" s="394"/>
      <c r="H64" s="394"/>
      <c r="I64" s="394"/>
      <c r="J64" s="32"/>
    </row>
    <row r="65" spans="2:10" x14ac:dyDescent="0.3">
      <c r="B65" s="102">
        <v>10</v>
      </c>
      <c r="C65" s="20" t="s">
        <v>47</v>
      </c>
      <c r="D65" s="533"/>
      <c r="E65" s="534"/>
      <c r="F65" s="394"/>
      <c r="G65" s="394"/>
      <c r="H65" s="394"/>
      <c r="I65" s="394"/>
      <c r="J65" s="32"/>
    </row>
    <row r="66" spans="2:10" x14ac:dyDescent="0.25">
      <c r="B66" s="103">
        <v>11</v>
      </c>
      <c r="C66" s="35" t="s">
        <v>48</v>
      </c>
      <c r="D66" s="535"/>
      <c r="E66" s="536"/>
      <c r="F66" s="395"/>
      <c r="G66" s="395"/>
      <c r="H66" s="395"/>
      <c r="I66" s="395"/>
      <c r="J66" s="32"/>
    </row>
    <row r="67" spans="2:10" x14ac:dyDescent="0.25">
      <c r="B67" s="102"/>
      <c r="C67" s="36"/>
      <c r="D67" s="41"/>
      <c r="E67" s="41"/>
      <c r="F67" s="41"/>
      <c r="G67" s="41"/>
      <c r="H67" s="41"/>
      <c r="I67" s="41"/>
      <c r="J67" s="32"/>
    </row>
    <row r="68" spans="2:10" x14ac:dyDescent="0.25">
      <c r="B68" s="229"/>
      <c r="C68" s="230"/>
      <c r="D68" s="31"/>
      <c r="E68" s="31"/>
      <c r="F68" s="31"/>
      <c r="G68" s="31"/>
      <c r="H68" s="31"/>
      <c r="I68" s="31"/>
    </row>
    <row r="69" spans="2:10" ht="17.5" x14ac:dyDescent="0.25">
      <c r="C69" s="104" t="s">
        <v>463</v>
      </c>
    </row>
    <row r="70" spans="2:10" x14ac:dyDescent="0.25">
      <c r="B70" s="24"/>
    </row>
    <row r="71" spans="2:10" ht="21.65" customHeight="1" x14ac:dyDescent="0.25">
      <c r="B71" s="449" t="s">
        <v>351</v>
      </c>
      <c r="C71" s="449" t="s">
        <v>39</v>
      </c>
      <c r="D71" s="301" t="s">
        <v>507</v>
      </c>
      <c r="E71" s="301" t="s">
        <v>653</v>
      </c>
      <c r="F71" s="298" t="str">
        <f>'F1'!$G$7</f>
        <v>FY 2026-27</v>
      </c>
      <c r="G71" s="298" t="str">
        <f>'F1'!$H$7</f>
        <v>FY 2027-28</v>
      </c>
      <c r="H71" s="298" t="str">
        <f>'F1'!$I$7</f>
        <v>FY 2028-29</v>
      </c>
      <c r="I71" s="298" t="str">
        <f>'F1'!$J$7</f>
        <v>FY 2029-30</v>
      </c>
      <c r="J71" s="458" t="s">
        <v>40</v>
      </c>
    </row>
    <row r="72" spans="2:10" ht="28" x14ac:dyDescent="0.25">
      <c r="B72" s="450"/>
      <c r="C72" s="450"/>
      <c r="D72" s="300" t="s">
        <v>569</v>
      </c>
      <c r="E72" s="300" t="s">
        <v>569</v>
      </c>
      <c r="F72" s="400" t="str">
        <f>'F1'!$G$8</f>
        <v>Projection</v>
      </c>
      <c r="G72" s="400" t="str">
        <f>'F1'!$H$8</f>
        <v>Projection</v>
      </c>
      <c r="H72" s="400" t="str">
        <f>'F1'!$I$8</f>
        <v>Projection</v>
      </c>
      <c r="I72" s="400" t="str">
        <f>'F1'!$J$8</f>
        <v>Projection</v>
      </c>
      <c r="J72" s="458"/>
    </row>
    <row r="73" spans="2:10" x14ac:dyDescent="0.25">
      <c r="B73" s="102"/>
      <c r="C73" s="32"/>
      <c r="D73" s="32"/>
      <c r="E73" s="32"/>
      <c r="F73" s="32"/>
      <c r="G73" s="32"/>
      <c r="H73" s="32"/>
      <c r="I73" s="32"/>
      <c r="J73" s="32"/>
    </row>
    <row r="74" spans="2:10" x14ac:dyDescent="0.3">
      <c r="B74" s="103">
        <v>1</v>
      </c>
      <c r="C74" s="33" t="s">
        <v>429</v>
      </c>
      <c r="D74" s="41"/>
      <c r="E74" s="41"/>
      <c r="F74" s="41"/>
      <c r="G74" s="41"/>
      <c r="H74" s="41"/>
      <c r="I74" s="41"/>
      <c r="J74" s="32"/>
    </row>
    <row r="75" spans="2:10" x14ac:dyDescent="0.3">
      <c r="B75" s="102">
        <v>1.1000000000000001</v>
      </c>
      <c r="C75" s="34" t="s">
        <v>41</v>
      </c>
      <c r="D75" s="41"/>
      <c r="E75" s="41"/>
      <c r="F75" s="41"/>
      <c r="G75" s="41"/>
      <c r="H75" s="41"/>
      <c r="I75" s="41"/>
      <c r="J75" s="32"/>
    </row>
    <row r="76" spans="2:10" x14ac:dyDescent="0.3">
      <c r="B76" s="102">
        <f t="shared" ref="B76:B82" si="9">B75+0.1</f>
        <v>1.2000000000000002</v>
      </c>
      <c r="C76" s="34" t="s">
        <v>411</v>
      </c>
      <c r="D76" s="41"/>
      <c r="E76" s="41"/>
      <c r="F76" s="41"/>
      <c r="G76" s="41"/>
      <c r="H76" s="41"/>
      <c r="I76" s="41"/>
      <c r="J76" s="32"/>
    </row>
    <row r="77" spans="2:10" x14ac:dyDescent="0.3">
      <c r="B77" s="102">
        <f t="shared" si="9"/>
        <v>1.3000000000000003</v>
      </c>
      <c r="C77" s="34" t="s">
        <v>353</v>
      </c>
      <c r="D77" s="41"/>
      <c r="E77" s="41"/>
      <c r="F77" s="41"/>
      <c r="G77" s="41"/>
      <c r="H77" s="41"/>
      <c r="I77" s="41"/>
      <c r="J77" s="32"/>
    </row>
    <row r="78" spans="2:10" x14ac:dyDescent="0.3">
      <c r="B78" s="102">
        <f t="shared" si="9"/>
        <v>1.4000000000000004</v>
      </c>
      <c r="C78" s="34" t="s">
        <v>42</v>
      </c>
      <c r="D78" s="41"/>
      <c r="E78" s="41"/>
      <c r="F78" s="41"/>
      <c r="G78" s="41"/>
      <c r="H78" s="41"/>
      <c r="I78" s="41"/>
      <c r="J78" s="32"/>
    </row>
    <row r="79" spans="2:10" x14ac:dyDescent="0.3">
      <c r="B79" s="102">
        <f t="shared" si="9"/>
        <v>1.5000000000000004</v>
      </c>
      <c r="C79" s="34" t="s">
        <v>43</v>
      </c>
      <c r="D79" s="41"/>
      <c r="E79" s="41"/>
      <c r="F79" s="41"/>
      <c r="G79" s="41"/>
      <c r="H79" s="41"/>
      <c r="I79" s="41"/>
      <c r="J79" s="32"/>
    </row>
    <row r="80" spans="2:10" x14ac:dyDescent="0.3">
      <c r="B80" s="102">
        <f t="shared" si="9"/>
        <v>1.6000000000000005</v>
      </c>
      <c r="C80" s="34" t="s">
        <v>469</v>
      </c>
      <c r="D80" s="41"/>
      <c r="E80" s="41"/>
      <c r="F80" s="41"/>
      <c r="G80" s="41"/>
      <c r="H80" s="41"/>
      <c r="I80" s="41"/>
      <c r="J80" s="32"/>
    </row>
    <row r="81" spans="2:10" x14ac:dyDescent="0.3">
      <c r="B81" s="102">
        <f t="shared" si="9"/>
        <v>1.7000000000000006</v>
      </c>
      <c r="C81" s="34" t="s">
        <v>44</v>
      </c>
      <c r="D81" s="41"/>
      <c r="E81" s="41"/>
      <c r="F81" s="41"/>
      <c r="G81" s="41"/>
      <c r="H81" s="41"/>
      <c r="I81" s="41"/>
      <c r="J81" s="32"/>
    </row>
    <row r="82" spans="2:10" x14ac:dyDescent="0.3">
      <c r="B82" s="102">
        <f t="shared" si="9"/>
        <v>1.8000000000000007</v>
      </c>
      <c r="C82" s="34" t="s">
        <v>45</v>
      </c>
      <c r="D82" s="41"/>
      <c r="E82" s="41"/>
      <c r="F82" s="41"/>
      <c r="G82" s="41"/>
      <c r="H82" s="41"/>
      <c r="I82" s="41"/>
      <c r="J82" s="32"/>
    </row>
    <row r="83" spans="2:10" x14ac:dyDescent="0.3">
      <c r="B83" s="102"/>
      <c r="C83" s="34"/>
      <c r="D83" s="41"/>
      <c r="E83" s="41"/>
      <c r="F83" s="41"/>
      <c r="G83" s="41"/>
      <c r="H83" s="41"/>
      <c r="I83" s="41"/>
      <c r="J83" s="32"/>
    </row>
    <row r="84" spans="2:10" x14ac:dyDescent="0.3">
      <c r="B84" s="103">
        <v>2</v>
      </c>
      <c r="C84" s="33" t="s">
        <v>428</v>
      </c>
      <c r="D84" s="41"/>
      <c r="E84" s="41"/>
      <c r="F84" s="41"/>
      <c r="G84" s="41"/>
      <c r="H84" s="41"/>
      <c r="I84" s="41"/>
      <c r="J84" s="32"/>
    </row>
    <row r="85" spans="2:10" x14ac:dyDescent="0.3">
      <c r="B85" s="102">
        <f t="shared" ref="B85:B91" si="10">B84+0.1</f>
        <v>2.1</v>
      </c>
      <c r="C85" s="34" t="s">
        <v>41</v>
      </c>
      <c r="D85" s="41"/>
      <c r="E85" s="41"/>
      <c r="F85" s="41"/>
      <c r="G85" s="41"/>
      <c r="H85" s="41"/>
      <c r="I85" s="41"/>
      <c r="J85" s="32"/>
    </row>
    <row r="86" spans="2:10" x14ac:dyDescent="0.3">
      <c r="B86" s="102">
        <f t="shared" si="10"/>
        <v>2.2000000000000002</v>
      </c>
      <c r="C86" s="34" t="s">
        <v>411</v>
      </c>
      <c r="D86" s="41"/>
      <c r="E86" s="41"/>
      <c r="F86" s="41"/>
      <c r="G86" s="41"/>
      <c r="H86" s="41"/>
      <c r="I86" s="41"/>
      <c r="J86" s="32"/>
    </row>
    <row r="87" spans="2:10" x14ac:dyDescent="0.3">
      <c r="B87" s="102">
        <f t="shared" si="10"/>
        <v>2.3000000000000003</v>
      </c>
      <c r="C87" s="34" t="s">
        <v>42</v>
      </c>
      <c r="D87" s="41"/>
      <c r="E87" s="41"/>
      <c r="F87" s="41"/>
      <c r="G87" s="41"/>
      <c r="H87" s="41"/>
      <c r="I87" s="41"/>
      <c r="J87" s="32"/>
    </row>
    <row r="88" spans="2:10" x14ac:dyDescent="0.3">
      <c r="B88" s="102">
        <f t="shared" si="10"/>
        <v>2.4000000000000004</v>
      </c>
      <c r="C88" s="34" t="s">
        <v>43</v>
      </c>
      <c r="D88" s="41"/>
      <c r="E88" s="41"/>
      <c r="F88" s="41"/>
      <c r="G88" s="41"/>
      <c r="H88" s="41"/>
      <c r="I88" s="41"/>
      <c r="J88" s="32"/>
    </row>
    <row r="89" spans="2:10" x14ac:dyDescent="0.3">
      <c r="B89" s="102">
        <f t="shared" si="10"/>
        <v>2.5000000000000004</v>
      </c>
      <c r="C89" s="34" t="s">
        <v>469</v>
      </c>
      <c r="D89" s="41"/>
      <c r="E89" s="41"/>
      <c r="F89" s="41"/>
      <c r="G89" s="41"/>
      <c r="H89" s="41"/>
      <c r="I89" s="41"/>
      <c r="J89" s="32"/>
    </row>
    <row r="90" spans="2:10" x14ac:dyDescent="0.3">
      <c r="B90" s="102">
        <f t="shared" si="10"/>
        <v>2.6000000000000005</v>
      </c>
      <c r="C90" s="34" t="s">
        <v>44</v>
      </c>
      <c r="D90" s="41"/>
      <c r="E90" s="41"/>
      <c r="F90" s="41"/>
      <c r="G90" s="41"/>
      <c r="H90" s="41"/>
      <c r="I90" s="41"/>
      <c r="J90" s="32"/>
    </row>
    <row r="91" spans="2:10" x14ac:dyDescent="0.3">
      <c r="B91" s="102">
        <f t="shared" si="10"/>
        <v>2.7000000000000006</v>
      </c>
      <c r="C91" s="34" t="s">
        <v>45</v>
      </c>
      <c r="D91" s="41"/>
      <c r="E91" s="41"/>
      <c r="F91" s="41"/>
      <c r="G91" s="41"/>
      <c r="H91" s="41"/>
      <c r="I91" s="41"/>
      <c r="J91" s="32"/>
    </row>
    <row r="92" spans="2:10" x14ac:dyDescent="0.3">
      <c r="B92" s="102"/>
      <c r="C92" s="34"/>
      <c r="D92" s="41"/>
      <c r="E92" s="41"/>
      <c r="F92" s="41"/>
      <c r="G92" s="41"/>
      <c r="H92" s="41"/>
      <c r="I92" s="41"/>
      <c r="J92" s="32"/>
    </row>
    <row r="93" spans="2:10" x14ac:dyDescent="0.3">
      <c r="B93" s="103">
        <v>3</v>
      </c>
      <c r="C93" s="33" t="s">
        <v>488</v>
      </c>
      <c r="D93" s="32"/>
      <c r="E93" s="32"/>
      <c r="F93" s="32"/>
      <c r="G93" s="32"/>
      <c r="H93" s="32"/>
      <c r="I93" s="32"/>
      <c r="J93" s="32"/>
    </row>
    <row r="94" spans="2:10" x14ac:dyDescent="0.3">
      <c r="B94" s="102"/>
      <c r="C94" s="34" t="s">
        <v>37</v>
      </c>
      <c r="D94" s="32"/>
      <c r="E94" s="32"/>
      <c r="F94" s="32"/>
      <c r="G94" s="32"/>
      <c r="H94" s="32"/>
      <c r="I94" s="32"/>
      <c r="J94" s="32"/>
    </row>
    <row r="95" spans="2:10" x14ac:dyDescent="0.3">
      <c r="B95" s="102"/>
      <c r="C95" s="34" t="s">
        <v>37</v>
      </c>
      <c r="D95" s="32"/>
      <c r="E95" s="32"/>
      <c r="F95" s="32"/>
      <c r="G95" s="32"/>
      <c r="H95" s="32"/>
      <c r="I95" s="32"/>
      <c r="J95" s="32"/>
    </row>
    <row r="96" spans="2:10" x14ac:dyDescent="0.3">
      <c r="B96" s="102"/>
      <c r="C96" s="34" t="s">
        <v>37</v>
      </c>
      <c r="D96" s="32"/>
      <c r="E96" s="32"/>
      <c r="F96" s="32"/>
      <c r="G96" s="32"/>
      <c r="H96" s="32"/>
      <c r="I96" s="32"/>
      <c r="J96" s="32"/>
    </row>
    <row r="97" spans="2:10" x14ac:dyDescent="0.3">
      <c r="B97" s="102"/>
      <c r="C97" s="34"/>
      <c r="D97" s="32"/>
      <c r="E97" s="32"/>
      <c r="F97" s="32"/>
      <c r="G97" s="32"/>
      <c r="H97" s="32"/>
      <c r="I97" s="32"/>
      <c r="J97" s="32"/>
    </row>
    <row r="98" spans="2:10" x14ac:dyDescent="0.3">
      <c r="B98" s="103">
        <v>10</v>
      </c>
      <c r="C98" s="33" t="s">
        <v>282</v>
      </c>
      <c r="D98" s="32"/>
      <c r="E98" s="32"/>
      <c r="F98" s="32"/>
      <c r="G98" s="32"/>
      <c r="H98" s="32"/>
      <c r="I98" s="32"/>
      <c r="J98" s="32"/>
    </row>
    <row r="99" spans="2:10" x14ac:dyDescent="0.3">
      <c r="B99" s="102">
        <f t="shared" ref="B99:B105" si="11">B98+0.1</f>
        <v>10.1</v>
      </c>
      <c r="C99" s="34" t="s">
        <v>41</v>
      </c>
      <c r="D99" s="32"/>
      <c r="E99" s="32"/>
      <c r="F99" s="32"/>
      <c r="G99" s="32"/>
      <c r="H99" s="32"/>
      <c r="I99" s="32"/>
      <c r="J99" s="32"/>
    </row>
    <row r="100" spans="2:10" x14ac:dyDescent="0.3">
      <c r="B100" s="102">
        <f t="shared" si="11"/>
        <v>10.199999999999999</v>
      </c>
      <c r="C100" s="34" t="s">
        <v>411</v>
      </c>
      <c r="D100" s="32"/>
      <c r="E100" s="32"/>
      <c r="F100" s="32"/>
      <c r="G100" s="32"/>
      <c r="H100" s="32"/>
      <c r="I100" s="32"/>
      <c r="J100" s="32"/>
    </row>
    <row r="101" spans="2:10" x14ac:dyDescent="0.3">
      <c r="B101" s="102">
        <f t="shared" si="11"/>
        <v>10.299999999999999</v>
      </c>
      <c r="C101" s="34" t="s">
        <v>42</v>
      </c>
      <c r="D101" s="32"/>
      <c r="E101" s="32"/>
      <c r="F101" s="32"/>
      <c r="G101" s="32"/>
      <c r="H101" s="32"/>
      <c r="I101" s="32"/>
      <c r="J101" s="32"/>
    </row>
    <row r="102" spans="2:10" x14ac:dyDescent="0.3">
      <c r="B102" s="102">
        <f t="shared" si="11"/>
        <v>10.399999999999999</v>
      </c>
      <c r="C102" s="34" t="s">
        <v>43</v>
      </c>
      <c r="D102" s="32"/>
      <c r="E102" s="32"/>
      <c r="F102" s="32"/>
      <c r="G102" s="32"/>
      <c r="H102" s="32"/>
      <c r="I102" s="32"/>
      <c r="J102" s="32"/>
    </row>
    <row r="103" spans="2:10" x14ac:dyDescent="0.3">
      <c r="B103" s="102">
        <f t="shared" si="11"/>
        <v>10.499999999999998</v>
      </c>
      <c r="C103" s="34" t="s">
        <v>469</v>
      </c>
      <c r="D103" s="32"/>
      <c r="E103" s="32"/>
      <c r="F103" s="32"/>
      <c r="G103" s="32"/>
      <c r="H103" s="32"/>
      <c r="I103" s="32"/>
      <c r="J103" s="32"/>
    </row>
    <row r="104" spans="2:10" x14ac:dyDescent="0.3">
      <c r="B104" s="102">
        <f t="shared" si="11"/>
        <v>10.599999999999998</v>
      </c>
      <c r="C104" s="34" t="s">
        <v>44</v>
      </c>
      <c r="D104" s="32"/>
      <c r="E104" s="32"/>
      <c r="F104" s="32"/>
      <c r="G104" s="32"/>
      <c r="H104" s="32"/>
      <c r="I104" s="32"/>
      <c r="J104" s="32"/>
    </row>
    <row r="105" spans="2:10" x14ac:dyDescent="0.3">
      <c r="B105" s="102">
        <f t="shared" si="11"/>
        <v>10.699999999999998</v>
      </c>
      <c r="C105" s="34" t="s">
        <v>45</v>
      </c>
      <c r="D105" s="32"/>
      <c r="E105" s="32"/>
      <c r="F105" s="32"/>
      <c r="G105" s="32"/>
      <c r="H105" s="32"/>
      <c r="I105" s="32"/>
      <c r="J105" s="32"/>
    </row>
    <row r="106" spans="2:10" x14ac:dyDescent="0.3">
      <c r="B106" s="102"/>
      <c r="C106" s="34"/>
      <c r="D106" s="32"/>
      <c r="E106" s="32"/>
      <c r="F106" s="32"/>
      <c r="G106" s="32"/>
      <c r="H106" s="32"/>
      <c r="I106" s="32"/>
      <c r="J106" s="32"/>
    </row>
    <row r="107" spans="2:10" x14ac:dyDescent="0.3">
      <c r="B107" s="102"/>
      <c r="C107" s="33"/>
      <c r="D107" s="32"/>
      <c r="E107" s="32"/>
      <c r="F107" s="32"/>
      <c r="G107" s="32"/>
      <c r="H107" s="32"/>
      <c r="I107" s="32"/>
      <c r="J107" s="32"/>
    </row>
    <row r="108" spans="2:10" x14ac:dyDescent="0.3">
      <c r="B108" s="102"/>
      <c r="C108" s="34"/>
      <c r="D108" s="32"/>
      <c r="E108" s="32"/>
      <c r="F108" s="32"/>
      <c r="G108" s="32"/>
      <c r="H108" s="32"/>
      <c r="I108" s="32"/>
      <c r="J108" s="32"/>
    </row>
    <row r="109" spans="2:10" x14ac:dyDescent="0.3">
      <c r="B109" s="102">
        <v>9</v>
      </c>
      <c r="C109" s="33" t="s">
        <v>46</v>
      </c>
      <c r="D109" s="32"/>
      <c r="E109" s="32"/>
      <c r="F109" s="32"/>
      <c r="G109" s="32"/>
      <c r="H109" s="32"/>
      <c r="I109" s="32"/>
      <c r="J109" s="32"/>
    </row>
    <row r="110" spans="2:10" x14ac:dyDescent="0.3">
      <c r="B110" s="102">
        <v>10</v>
      </c>
      <c r="C110" s="20" t="s">
        <v>47</v>
      </c>
      <c r="D110" s="32"/>
      <c r="E110" s="32"/>
      <c r="F110" s="32"/>
      <c r="G110" s="32"/>
      <c r="H110" s="32"/>
      <c r="I110" s="32"/>
      <c r="J110" s="32"/>
    </row>
    <row r="111" spans="2:10" x14ac:dyDescent="0.25">
      <c r="B111" s="103">
        <v>11</v>
      </c>
      <c r="C111" s="35" t="s">
        <v>48</v>
      </c>
      <c r="D111" s="32"/>
      <c r="E111" s="32"/>
      <c r="F111" s="32"/>
      <c r="G111" s="32"/>
      <c r="H111" s="32"/>
      <c r="I111" s="32"/>
      <c r="J111" s="32"/>
    </row>
    <row r="112" spans="2:10" x14ac:dyDescent="0.25">
      <c r="B112" s="102"/>
      <c r="C112" s="36"/>
      <c r="D112" s="32"/>
      <c r="E112" s="32"/>
      <c r="F112" s="32"/>
      <c r="G112" s="32"/>
      <c r="H112" s="32"/>
      <c r="I112" s="32"/>
      <c r="J112" s="32"/>
    </row>
  </sheetData>
  <mergeCells count="14">
    <mergeCell ref="C2:J2"/>
    <mergeCell ref="C3:J3"/>
    <mergeCell ref="C4:J4"/>
    <mergeCell ref="C5:J5"/>
    <mergeCell ref="B10:B11"/>
    <mergeCell ref="C10:C11"/>
    <mergeCell ref="B28:B29"/>
    <mergeCell ref="C71:C72"/>
    <mergeCell ref="B71:B72"/>
    <mergeCell ref="C28:C29"/>
    <mergeCell ref="J10:J11"/>
    <mergeCell ref="J28:J29"/>
    <mergeCell ref="J71:J72"/>
    <mergeCell ref="D30:E66"/>
  </mergeCells>
  <pageMargins left="1.02" right="0.25" top="1" bottom="1" header="0.25" footer="0.25"/>
  <pageSetup paperSize="9" scale="60" fitToHeight="0" orientation="landscape" r:id="rId1"/>
  <headerFooter alignWithMargins="0">
    <oddHeader>&amp;F</oddHeader>
  </headerFooter>
  <rowBreaks count="2" manualBreakCount="2">
    <brk id="25" min="1" max="13" man="1"/>
    <brk id="68" min="1"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2:L37"/>
  <sheetViews>
    <sheetView showGridLines="0" topLeftCell="A3" zoomScale="75" zoomScaleNormal="75" workbookViewId="0">
      <selection activeCell="D18" sqref="D18"/>
    </sheetView>
  </sheetViews>
  <sheetFormatPr defaultColWidth="9.1796875" defaultRowHeight="14" x14ac:dyDescent="0.25"/>
  <cols>
    <col min="1" max="1" width="6.26953125" style="24" customWidth="1"/>
    <col min="2" max="2" width="8.26953125" style="24" customWidth="1"/>
    <col min="3" max="3" width="64" style="24" customWidth="1"/>
    <col min="4" max="12" width="16.7265625" style="24" customWidth="1"/>
    <col min="13" max="16384" width="9.1796875" style="24"/>
  </cols>
  <sheetData>
    <row r="2" spans="2:12" ht="99.65" customHeight="1" x14ac:dyDescent="0.25">
      <c r="B2" s="538" t="s">
        <v>630</v>
      </c>
      <c r="C2" s="538"/>
      <c r="D2" s="538"/>
      <c r="E2" s="538"/>
      <c r="F2" s="538"/>
      <c r="G2" s="538"/>
      <c r="H2" s="538"/>
      <c r="I2" s="538"/>
      <c r="J2" s="538"/>
    </row>
    <row r="4" spans="2:12" x14ac:dyDescent="0.25">
      <c r="J4" s="30" t="s">
        <v>16</v>
      </c>
    </row>
    <row r="5" spans="2:12" ht="15" customHeight="1" x14ac:dyDescent="0.25">
      <c r="B5" s="449" t="s">
        <v>354</v>
      </c>
      <c r="C5" s="449" t="s">
        <v>49</v>
      </c>
      <c r="D5" s="298" t="str">
        <f>'F1'!$E$7</f>
        <v>FY 2024-25</v>
      </c>
      <c r="E5" s="298" t="str">
        <f>'F1'!$F$7</f>
        <v>FY 2025-26</v>
      </c>
      <c r="F5" s="298" t="str">
        <f>'F1'!$G$7</f>
        <v>FY 2026-27</v>
      </c>
      <c r="G5" s="298" t="str">
        <f>'F1'!$H$7</f>
        <v>FY 2027-28</v>
      </c>
      <c r="H5" s="298" t="str">
        <f>'F1'!$I$7</f>
        <v>FY 2028-29</v>
      </c>
      <c r="I5" s="298" t="str">
        <f>'F1'!$J$7</f>
        <v>FY 2029-30</v>
      </c>
      <c r="J5" s="539" t="s">
        <v>40</v>
      </c>
    </row>
    <row r="6" spans="2:12" ht="28" x14ac:dyDescent="0.25">
      <c r="B6" s="450"/>
      <c r="C6" s="450"/>
      <c r="D6" s="286" t="s">
        <v>569</v>
      </c>
      <c r="E6" s="286" t="s">
        <v>569</v>
      </c>
      <c r="F6" s="400" t="str">
        <f>'F1'!$G$8</f>
        <v>Projection</v>
      </c>
      <c r="G6" s="400" t="str">
        <f>'F1'!$H$8</f>
        <v>Projection</v>
      </c>
      <c r="H6" s="400" t="str">
        <f>'F1'!$I$8</f>
        <v>Projection</v>
      </c>
      <c r="I6" s="400" t="str">
        <f>'F1'!$J$8</f>
        <v>Projection</v>
      </c>
      <c r="J6" s="540"/>
    </row>
    <row r="7" spans="2:12" x14ac:dyDescent="0.25">
      <c r="B7" s="106">
        <v>1</v>
      </c>
      <c r="C7" s="105" t="s">
        <v>537</v>
      </c>
      <c r="D7" s="32"/>
      <c r="E7" s="330">
        <f>D11</f>
        <v>1205.3011871173228</v>
      </c>
      <c r="F7" s="330">
        <f t="shared" ref="F7:I7" si="0">E11</f>
        <v>1366.9611871173229</v>
      </c>
      <c r="G7" s="330">
        <f t="shared" si="0"/>
        <v>1366.9611871173229</v>
      </c>
      <c r="H7" s="330">
        <f t="shared" si="0"/>
        <v>1366.9611871173229</v>
      </c>
      <c r="I7" s="330">
        <f t="shared" si="0"/>
        <v>1366.9611871173229</v>
      </c>
      <c r="J7" s="32"/>
    </row>
    <row r="8" spans="2:12" x14ac:dyDescent="0.25">
      <c r="B8" s="106">
        <f>B7+1</f>
        <v>2</v>
      </c>
      <c r="C8" s="105" t="s">
        <v>513</v>
      </c>
      <c r="D8" s="330">
        <f>'F4'!D14</f>
        <v>6026.5059355866142</v>
      </c>
      <c r="E8" s="330">
        <f>'F4'!E14</f>
        <v>808.3</v>
      </c>
      <c r="F8" s="330">
        <f>'F4'!F14</f>
        <v>0</v>
      </c>
      <c r="G8" s="330">
        <f>'F4'!G14</f>
        <v>0</v>
      </c>
      <c r="H8" s="330">
        <f>'F4'!H14</f>
        <v>0</v>
      </c>
      <c r="I8" s="330">
        <f>'F4'!I14</f>
        <v>0</v>
      </c>
      <c r="J8" s="32"/>
    </row>
    <row r="9" spans="2:12" x14ac:dyDescent="0.25">
      <c r="B9" s="106">
        <f t="shared" ref="B9:B18" si="1">B8+1</f>
        <v>3</v>
      </c>
      <c r="C9" s="105" t="s">
        <v>538</v>
      </c>
      <c r="D9" s="330">
        <f t="shared" ref="D9:I9" si="2">D8*20%</f>
        <v>1205.3011871173228</v>
      </c>
      <c r="E9" s="330">
        <f t="shared" si="2"/>
        <v>161.66</v>
      </c>
      <c r="F9" s="330">
        <f t="shared" si="2"/>
        <v>0</v>
      </c>
      <c r="G9" s="330">
        <f t="shared" si="2"/>
        <v>0</v>
      </c>
      <c r="H9" s="330">
        <f t="shared" si="2"/>
        <v>0</v>
      </c>
      <c r="I9" s="330">
        <f t="shared" si="2"/>
        <v>0</v>
      </c>
      <c r="J9" s="32"/>
      <c r="L9" s="356">
        <v>0.199968823758186</v>
      </c>
    </row>
    <row r="10" spans="2:12" x14ac:dyDescent="0.3">
      <c r="B10" s="257">
        <f t="shared" si="1"/>
        <v>4</v>
      </c>
      <c r="C10" s="37" t="s">
        <v>50</v>
      </c>
      <c r="D10" s="32"/>
      <c r="E10" s="32"/>
      <c r="F10" s="32"/>
      <c r="G10" s="32"/>
      <c r="H10" s="32"/>
      <c r="I10" s="32"/>
      <c r="J10" s="32"/>
    </row>
    <row r="11" spans="2:12" x14ac:dyDescent="0.25">
      <c r="B11" s="106">
        <f t="shared" si="1"/>
        <v>5</v>
      </c>
      <c r="C11" s="105" t="s">
        <v>51</v>
      </c>
      <c r="D11" s="330">
        <f>D7+D9-D10</f>
        <v>1205.3011871173228</v>
      </c>
      <c r="E11" s="330">
        <f>E7+E9-E10</f>
        <v>1366.9611871173229</v>
      </c>
      <c r="F11" s="330">
        <f t="shared" ref="F11:I11" si="3">F7+F9-F10</f>
        <v>1366.9611871173229</v>
      </c>
      <c r="G11" s="330">
        <f t="shared" si="3"/>
        <v>1366.9611871173229</v>
      </c>
      <c r="H11" s="330">
        <f t="shared" si="3"/>
        <v>1366.9611871173229</v>
      </c>
      <c r="I11" s="330">
        <f t="shared" si="3"/>
        <v>1366.9611871173229</v>
      </c>
      <c r="J11" s="32"/>
    </row>
    <row r="12" spans="2:12" x14ac:dyDescent="0.25">
      <c r="B12" s="106"/>
      <c r="C12" s="105"/>
      <c r="D12" s="32"/>
      <c r="E12" s="32"/>
      <c r="F12" s="32"/>
      <c r="G12" s="32"/>
      <c r="H12" s="32"/>
      <c r="I12" s="32"/>
      <c r="J12" s="32"/>
    </row>
    <row r="13" spans="2:12" x14ac:dyDescent="0.25">
      <c r="B13" s="106"/>
      <c r="C13" s="107" t="s">
        <v>416</v>
      </c>
      <c r="D13" s="32"/>
      <c r="E13" s="32"/>
      <c r="F13" s="32"/>
      <c r="G13" s="32"/>
      <c r="H13" s="32"/>
      <c r="I13" s="32"/>
      <c r="J13" s="32"/>
    </row>
    <row r="14" spans="2:12" x14ac:dyDescent="0.25">
      <c r="B14" s="106">
        <v>6</v>
      </c>
      <c r="C14" s="105" t="s">
        <v>515</v>
      </c>
      <c r="D14" s="353">
        <v>0.14000000000000001</v>
      </c>
      <c r="E14" s="437">
        <f>15.5%</f>
        <v>0.155</v>
      </c>
      <c r="F14" s="437">
        <f t="shared" ref="F14:I14" si="4">15.5%</f>
        <v>0.155</v>
      </c>
      <c r="G14" s="437">
        <f t="shared" si="4"/>
        <v>0.155</v>
      </c>
      <c r="H14" s="437">
        <f t="shared" si="4"/>
        <v>0.155</v>
      </c>
      <c r="I14" s="437">
        <f t="shared" si="4"/>
        <v>0.155</v>
      </c>
      <c r="J14" s="32"/>
    </row>
    <row r="15" spans="2:12" x14ac:dyDescent="0.25">
      <c r="B15" s="106">
        <v>7</v>
      </c>
      <c r="C15" s="105" t="s">
        <v>534</v>
      </c>
      <c r="D15" s="355">
        <f>D14/(1-D20)</f>
        <v>0.14000000000000001</v>
      </c>
      <c r="E15" s="355">
        <f>E14/(1-E20)</f>
        <v>0.155</v>
      </c>
      <c r="F15" s="355">
        <f t="shared" ref="F15:I15" si="5">F14/(1-F20)</f>
        <v>0.155</v>
      </c>
      <c r="G15" s="355">
        <f t="shared" si="5"/>
        <v>0.155</v>
      </c>
      <c r="H15" s="355">
        <f t="shared" si="5"/>
        <v>0.155</v>
      </c>
      <c r="I15" s="355">
        <f t="shared" si="5"/>
        <v>0.155</v>
      </c>
      <c r="J15" s="32"/>
    </row>
    <row r="16" spans="2:12" x14ac:dyDescent="0.25">
      <c r="B16" s="106">
        <v>8</v>
      </c>
      <c r="C16" s="105" t="s">
        <v>516</v>
      </c>
      <c r="D16" s="330">
        <f>D7*D15</f>
        <v>0</v>
      </c>
      <c r="E16" s="330">
        <f>E7*E15</f>
        <v>186.82168400318503</v>
      </c>
      <c r="F16" s="330">
        <f t="shared" ref="F16:I16" si="6">F7*F15</f>
        <v>211.87898400318505</v>
      </c>
      <c r="G16" s="330">
        <f t="shared" si="6"/>
        <v>211.87898400318505</v>
      </c>
      <c r="H16" s="330">
        <f t="shared" si="6"/>
        <v>211.87898400318505</v>
      </c>
      <c r="I16" s="330">
        <f t="shared" si="6"/>
        <v>211.87898400318505</v>
      </c>
      <c r="J16" s="32"/>
    </row>
    <row r="17" spans="2:10" x14ac:dyDescent="0.25">
      <c r="B17" s="106">
        <f t="shared" si="1"/>
        <v>9</v>
      </c>
      <c r="C17" s="105" t="s">
        <v>517</v>
      </c>
      <c r="D17" s="331">
        <f>D9*D15/365*(28+31)</f>
        <v>27.276130974216681</v>
      </c>
      <c r="E17" s="331">
        <f>E9*E15/2</f>
        <v>12.528649999999999</v>
      </c>
      <c r="F17" s="331">
        <f t="shared" ref="F17:I17" si="7">F9*F15/2</f>
        <v>0</v>
      </c>
      <c r="G17" s="331">
        <f t="shared" si="7"/>
        <v>0</v>
      </c>
      <c r="H17" s="331">
        <f t="shared" si="7"/>
        <v>0</v>
      </c>
      <c r="I17" s="331">
        <f t="shared" si="7"/>
        <v>0</v>
      </c>
      <c r="J17" s="32"/>
    </row>
    <row r="18" spans="2:10" x14ac:dyDescent="0.25">
      <c r="B18" s="106">
        <f t="shared" si="1"/>
        <v>10</v>
      </c>
      <c r="C18" s="107" t="s">
        <v>417</v>
      </c>
      <c r="D18" s="302">
        <f>SUM(D16:D17)</f>
        <v>27.276130974216681</v>
      </c>
      <c r="E18" s="302">
        <f>SUM(E16:E17)</f>
        <v>199.35033400318503</v>
      </c>
      <c r="F18" s="302">
        <f t="shared" ref="F18:I18" si="8">SUM(F16:F17)</f>
        <v>211.87898400318505</v>
      </c>
      <c r="G18" s="302">
        <f t="shared" si="8"/>
        <v>211.87898400318505</v>
      </c>
      <c r="H18" s="302">
        <f t="shared" si="8"/>
        <v>211.87898400318505</v>
      </c>
      <c r="I18" s="302">
        <f t="shared" si="8"/>
        <v>211.87898400318505</v>
      </c>
      <c r="J18" s="32"/>
    </row>
    <row r="19" spans="2:10" x14ac:dyDescent="0.25">
      <c r="B19" s="32"/>
      <c r="C19" s="32"/>
      <c r="D19" s="32"/>
      <c r="E19" s="32"/>
      <c r="F19" s="32"/>
      <c r="G19" s="32"/>
      <c r="H19" s="32"/>
      <c r="I19" s="32"/>
      <c r="J19" s="32"/>
    </row>
    <row r="20" spans="2:10" x14ac:dyDescent="0.25">
      <c r="B20" s="106"/>
      <c r="C20" s="107" t="s">
        <v>638</v>
      </c>
      <c r="D20" s="354">
        <v>0</v>
      </c>
      <c r="E20" s="354">
        <v>0</v>
      </c>
      <c r="F20" s="354">
        <v>0</v>
      </c>
      <c r="G20" s="354">
        <v>0</v>
      </c>
      <c r="H20" s="354">
        <v>0</v>
      </c>
      <c r="I20" s="354">
        <v>0</v>
      </c>
      <c r="J20" s="35"/>
    </row>
    <row r="22" spans="2:10" x14ac:dyDescent="0.25">
      <c r="C22" s="290" t="s">
        <v>607</v>
      </c>
    </row>
    <row r="24" spans="2:10" x14ac:dyDescent="0.25">
      <c r="B24" s="449" t="s">
        <v>351</v>
      </c>
      <c r="C24" s="451" t="s">
        <v>49</v>
      </c>
    </row>
    <row r="25" spans="2:10" x14ac:dyDescent="0.25">
      <c r="B25" s="450"/>
      <c r="C25" s="451"/>
    </row>
    <row r="26" spans="2:10" x14ac:dyDescent="0.25">
      <c r="B26" s="102">
        <v>1</v>
      </c>
      <c r="C26" s="105" t="s">
        <v>612</v>
      </c>
    </row>
    <row r="27" spans="2:10" x14ac:dyDescent="0.25">
      <c r="B27" s="106">
        <f>B26+1</f>
        <v>2</v>
      </c>
      <c r="C27" s="105" t="s">
        <v>608</v>
      </c>
    </row>
    <row r="28" spans="2:10" x14ac:dyDescent="0.25">
      <c r="B28" s="106"/>
      <c r="C28" s="105"/>
    </row>
    <row r="29" spans="2:10" x14ac:dyDescent="0.3">
      <c r="B29" s="106">
        <v>3</v>
      </c>
      <c r="C29" s="37" t="s">
        <v>613</v>
      </c>
    </row>
    <row r="30" spans="2:10" x14ac:dyDescent="0.25">
      <c r="B30" s="106">
        <f>B29+1</f>
        <v>4</v>
      </c>
      <c r="C30" s="105" t="s">
        <v>609</v>
      </c>
    </row>
    <row r="31" spans="2:10" x14ac:dyDescent="0.25">
      <c r="B31" s="106"/>
      <c r="C31" s="105"/>
    </row>
    <row r="32" spans="2:10" x14ac:dyDescent="0.25">
      <c r="B32" s="106">
        <v>5</v>
      </c>
      <c r="C32" s="105" t="s">
        <v>614</v>
      </c>
    </row>
    <row r="33" spans="2:3" x14ac:dyDescent="0.25">
      <c r="B33" s="106"/>
      <c r="C33" s="105"/>
    </row>
    <row r="34" spans="2:3" x14ac:dyDescent="0.25">
      <c r="B34" s="106"/>
      <c r="C34" s="107" t="s">
        <v>611</v>
      </c>
    </row>
    <row r="35" spans="2:3" x14ac:dyDescent="0.25">
      <c r="B35" s="106">
        <v>6</v>
      </c>
      <c r="C35" s="105" t="s">
        <v>539</v>
      </c>
    </row>
    <row r="36" spans="2:3" x14ac:dyDescent="0.25">
      <c r="B36" s="106">
        <v>7</v>
      </c>
      <c r="C36" s="105" t="s">
        <v>540</v>
      </c>
    </row>
    <row r="37" spans="2:3" x14ac:dyDescent="0.25">
      <c r="B37" s="119">
        <v>8</v>
      </c>
      <c r="C37" s="107" t="s">
        <v>610</v>
      </c>
    </row>
  </sheetData>
  <mergeCells count="6">
    <mergeCell ref="B5:B6"/>
    <mergeCell ref="C5:C6"/>
    <mergeCell ref="B2:J2"/>
    <mergeCell ref="J5:J6"/>
    <mergeCell ref="B24:B25"/>
    <mergeCell ref="C24:C25"/>
  </mergeCells>
  <pageMargins left="1.02" right="0.25" top="1" bottom="1" header="0.25" footer="0.25"/>
  <pageSetup paperSize="9" scale="69" orientation="landscape" r:id="rId1"/>
  <headerFooter alignWithMargins="0">
    <oddHeader>&amp;F</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O51"/>
  <sheetViews>
    <sheetView showGridLines="0" view="pageBreakPreview" zoomScale="60" zoomScaleNormal="75" workbookViewId="0">
      <selection activeCell="M9" sqref="M9"/>
    </sheetView>
  </sheetViews>
  <sheetFormatPr defaultColWidth="9.1796875" defaultRowHeight="14" x14ac:dyDescent="0.3"/>
  <cols>
    <col min="1" max="1" width="4.1796875" style="9" customWidth="1"/>
    <col min="2" max="2" width="30.453125" style="9" customWidth="1"/>
    <col min="3" max="15" width="10.7265625" style="9" customWidth="1"/>
    <col min="16" max="16384" width="9.1796875" style="9"/>
  </cols>
  <sheetData>
    <row r="1" spans="2:15" x14ac:dyDescent="0.3">
      <c r="B1" s="68"/>
    </row>
    <row r="2" spans="2:15" x14ac:dyDescent="0.3">
      <c r="B2" s="447" t="s">
        <v>628</v>
      </c>
      <c r="C2" s="439"/>
      <c r="D2" s="439"/>
      <c r="E2" s="439"/>
      <c r="F2" s="439"/>
      <c r="G2" s="439"/>
      <c r="H2" s="439"/>
      <c r="I2" s="439"/>
      <c r="J2" s="439"/>
      <c r="K2" s="439"/>
      <c r="L2" s="439"/>
      <c r="M2" s="439"/>
      <c r="N2" s="439"/>
      <c r="O2" s="439"/>
    </row>
    <row r="3" spans="2:15" x14ac:dyDescent="0.3">
      <c r="B3" s="448" t="s">
        <v>570</v>
      </c>
      <c r="C3" s="439"/>
      <c r="D3" s="439"/>
      <c r="E3" s="439"/>
      <c r="F3" s="439"/>
      <c r="G3" s="439"/>
      <c r="H3" s="439"/>
      <c r="I3" s="439"/>
      <c r="J3" s="439"/>
      <c r="K3" s="439"/>
      <c r="L3" s="439"/>
      <c r="M3" s="439"/>
      <c r="N3" s="439"/>
      <c r="O3" s="439"/>
    </row>
    <row r="4" spans="2:15" x14ac:dyDescent="0.3">
      <c r="B4" s="502" t="s">
        <v>287</v>
      </c>
      <c r="C4" s="541"/>
      <c r="D4" s="541"/>
      <c r="E4" s="541"/>
      <c r="F4" s="541"/>
      <c r="G4" s="541"/>
      <c r="H4" s="541"/>
      <c r="I4" s="541"/>
      <c r="J4" s="541"/>
      <c r="K4" s="541"/>
      <c r="L4" s="541"/>
      <c r="M4" s="541"/>
      <c r="N4" s="541"/>
      <c r="O4" s="541"/>
    </row>
    <row r="5" spans="2:15" x14ac:dyDescent="0.3">
      <c r="B5" s="537" t="s">
        <v>629</v>
      </c>
      <c r="C5" s="537"/>
      <c r="D5" s="537"/>
      <c r="E5" s="537"/>
      <c r="F5" s="537"/>
      <c r="G5" s="537"/>
      <c r="H5" s="537"/>
      <c r="I5" s="537"/>
      <c r="J5" s="537"/>
      <c r="K5" s="537"/>
      <c r="L5" s="537"/>
      <c r="M5" s="537"/>
      <c r="N5" s="537"/>
      <c r="O5" s="537"/>
    </row>
    <row r="6" spans="2:15" x14ac:dyDescent="0.3">
      <c r="B6" s="56" t="s">
        <v>508</v>
      </c>
      <c r="C6" s="28"/>
      <c r="D6" s="28"/>
      <c r="E6" s="28"/>
      <c r="F6" s="28"/>
      <c r="G6" s="28"/>
      <c r="H6" s="28"/>
      <c r="I6" s="69"/>
    </row>
    <row r="7" spans="2:15" x14ac:dyDescent="0.3">
      <c r="B7" s="56" t="s">
        <v>604</v>
      </c>
      <c r="C7" s="63"/>
      <c r="D7" s="63"/>
      <c r="O7" s="63" t="s">
        <v>288</v>
      </c>
    </row>
    <row r="8" spans="2:15" x14ac:dyDescent="0.3">
      <c r="B8" s="108" t="s">
        <v>289</v>
      </c>
      <c r="C8" s="246" t="s">
        <v>290</v>
      </c>
      <c r="D8" s="246" t="s">
        <v>291</v>
      </c>
      <c r="E8" s="109" t="s">
        <v>292</v>
      </c>
      <c r="F8" s="109" t="s">
        <v>293</v>
      </c>
      <c r="G8" s="109" t="s">
        <v>294</v>
      </c>
      <c r="H8" s="109" t="s">
        <v>295</v>
      </c>
      <c r="I8" s="109" t="s">
        <v>296</v>
      </c>
      <c r="J8" s="109" t="s">
        <v>297</v>
      </c>
      <c r="K8" s="109" t="s">
        <v>298</v>
      </c>
      <c r="L8" s="109" t="s">
        <v>299</v>
      </c>
      <c r="M8" s="109" t="s">
        <v>300</v>
      </c>
      <c r="N8" s="109" t="s">
        <v>301</v>
      </c>
      <c r="O8" s="109" t="s">
        <v>282</v>
      </c>
    </row>
    <row r="9" spans="2:15" x14ac:dyDescent="0.3">
      <c r="B9" s="110" t="s">
        <v>639</v>
      </c>
      <c r="C9" s="49"/>
      <c r="D9" s="49"/>
      <c r="E9" s="49"/>
      <c r="F9" s="49"/>
      <c r="G9" s="49"/>
      <c r="H9" s="49"/>
      <c r="I9" s="49"/>
      <c r="J9" s="49"/>
      <c r="K9" s="49"/>
      <c r="L9" s="49"/>
      <c r="M9" s="322">
        <f>660*24/1000*28*0.85*(1-'F2.1'!$E$36)</f>
        <v>350.79105599999997</v>
      </c>
      <c r="N9" s="322">
        <f>660*24/1000*31*0.85*(1-'F2.1'!$E$36)</f>
        <v>388.375812</v>
      </c>
      <c r="O9" s="322">
        <f>SUM(C9:N9)</f>
        <v>739.16686800000002</v>
      </c>
    </row>
    <row r="10" spans="2:15" x14ac:dyDescent="0.3">
      <c r="B10" s="79"/>
      <c r="C10" s="20"/>
      <c r="D10" s="20"/>
      <c r="E10" s="20"/>
      <c r="F10" s="20"/>
      <c r="G10" s="20"/>
      <c r="H10" s="20"/>
      <c r="I10" s="20"/>
      <c r="J10" s="20"/>
      <c r="K10" s="20"/>
      <c r="L10" s="20"/>
      <c r="M10" s="20"/>
      <c r="N10" s="20"/>
      <c r="O10" s="322">
        <f t="shared" ref="O10" si="0">SUM(C10:N10)</f>
        <v>0</v>
      </c>
    </row>
    <row r="11" spans="2:15" x14ac:dyDescent="0.3">
      <c r="B11" s="70" t="s">
        <v>282</v>
      </c>
      <c r="C11" s="322">
        <f t="shared" ref="C11:O11" si="1">SUM(C9:C10)</f>
        <v>0</v>
      </c>
      <c r="D11" s="322">
        <f t="shared" si="1"/>
        <v>0</v>
      </c>
      <c r="E11" s="322">
        <f t="shared" si="1"/>
        <v>0</v>
      </c>
      <c r="F11" s="322">
        <f t="shared" si="1"/>
        <v>0</v>
      </c>
      <c r="G11" s="322">
        <f t="shared" si="1"/>
        <v>0</v>
      </c>
      <c r="H11" s="322">
        <f t="shared" si="1"/>
        <v>0</v>
      </c>
      <c r="I11" s="322">
        <f t="shared" si="1"/>
        <v>0</v>
      </c>
      <c r="J11" s="322">
        <f t="shared" si="1"/>
        <v>0</v>
      </c>
      <c r="K11" s="322">
        <f t="shared" si="1"/>
        <v>0</v>
      </c>
      <c r="L11" s="322">
        <f t="shared" si="1"/>
        <v>0</v>
      </c>
      <c r="M11" s="322">
        <f t="shared" si="1"/>
        <v>350.79105599999997</v>
      </c>
      <c r="N11" s="322">
        <f t="shared" si="1"/>
        <v>388.375812</v>
      </c>
      <c r="O11" s="322">
        <f t="shared" si="1"/>
        <v>739.16686800000002</v>
      </c>
    </row>
    <row r="14" spans="2:15" x14ac:dyDescent="0.3">
      <c r="B14" s="56" t="s">
        <v>655</v>
      </c>
      <c r="C14" s="28"/>
      <c r="D14" s="28"/>
      <c r="E14" s="28"/>
      <c r="F14" s="28"/>
      <c r="G14" s="28"/>
      <c r="H14" s="28"/>
      <c r="I14" s="69"/>
    </row>
    <row r="15" spans="2:15" x14ac:dyDescent="0.3">
      <c r="B15" s="56" t="s">
        <v>604</v>
      </c>
      <c r="C15" s="63"/>
      <c r="D15" s="63"/>
      <c r="O15" s="63" t="s">
        <v>288</v>
      </c>
    </row>
    <row r="16" spans="2:15" x14ac:dyDescent="0.3">
      <c r="B16" s="108" t="s">
        <v>289</v>
      </c>
      <c r="C16" s="86" t="s">
        <v>290</v>
      </c>
      <c r="D16" s="86" t="s">
        <v>291</v>
      </c>
      <c r="E16" s="109" t="s">
        <v>292</v>
      </c>
      <c r="F16" s="109" t="s">
        <v>293</v>
      </c>
      <c r="G16" s="109" t="s">
        <v>294</v>
      </c>
      <c r="H16" s="109" t="s">
        <v>295</v>
      </c>
      <c r="I16" s="109" t="s">
        <v>296</v>
      </c>
      <c r="J16" s="109" t="s">
        <v>297</v>
      </c>
      <c r="K16" s="109" t="s">
        <v>298</v>
      </c>
      <c r="L16" s="109" t="s">
        <v>299</v>
      </c>
      <c r="M16" s="109" t="s">
        <v>300</v>
      </c>
      <c r="N16" s="109" t="s">
        <v>301</v>
      </c>
      <c r="O16" s="109" t="s">
        <v>282</v>
      </c>
    </row>
    <row r="17" spans="2:15" x14ac:dyDescent="0.3">
      <c r="B17" s="110" t="s">
        <v>639</v>
      </c>
      <c r="C17" s="326">
        <f>660*24/1000*30*0.85*(1-'F2.1'!$F$36)</f>
        <v>375.84755999999999</v>
      </c>
      <c r="D17" s="326">
        <f>660*24/1000*31*0.85*(1-'F2.1'!$F$36)</f>
        <v>388.375812</v>
      </c>
      <c r="E17" s="326">
        <f>660*24/1000*30*0.85*(1-'F2.1'!$F$36)</f>
        <v>375.84755999999999</v>
      </c>
      <c r="F17" s="326">
        <f>660*24/1000*31*0.85*(1-'F2.1'!$F$36)</f>
        <v>388.375812</v>
      </c>
      <c r="G17" s="326">
        <f>660*24/1000*31*0.85*(1-'F2.1'!$F$36)</f>
        <v>388.375812</v>
      </c>
      <c r="H17" s="326">
        <f>660*24/1000*30*0.85*(1-'F2.1'!$F$36)</f>
        <v>375.84755999999999</v>
      </c>
      <c r="I17" s="326">
        <f>660*24/1000*31*0.85*(1-'F2.1'!$F$36)</f>
        <v>388.375812</v>
      </c>
      <c r="J17" s="326">
        <f>660*24/1000*30*0.85*(1-'F2.1'!$F$36)</f>
        <v>375.84755999999999</v>
      </c>
      <c r="K17" s="326">
        <f>660*24/1000*31*0.85*(1-'F2.1'!$F$36)</f>
        <v>388.375812</v>
      </c>
      <c r="L17" s="326">
        <f>660*24/1000*31*0.85*(1-'F2.1'!$F$36)</f>
        <v>388.375812</v>
      </c>
      <c r="M17" s="326">
        <f>660*24/1000*28*0.85*(1-'F2.1'!$F$36)</f>
        <v>350.79105599999997</v>
      </c>
      <c r="N17" s="326">
        <f>660*24/1000*31*0.85*(1-'F2.1'!$F$36)</f>
        <v>388.375812</v>
      </c>
      <c r="O17" s="322">
        <f>SUM(C17:N17)</f>
        <v>4572.8119800000004</v>
      </c>
    </row>
    <row r="18" spans="2:15" x14ac:dyDescent="0.3">
      <c r="B18" s="79"/>
      <c r="C18" s="20"/>
      <c r="D18" s="20"/>
      <c r="E18" s="20"/>
      <c r="F18" s="20"/>
      <c r="G18" s="20"/>
      <c r="H18" s="20"/>
      <c r="I18" s="20"/>
      <c r="J18" s="20"/>
      <c r="K18" s="20"/>
      <c r="L18" s="20"/>
      <c r="M18" s="20"/>
      <c r="N18" s="20"/>
      <c r="O18" s="322">
        <f t="shared" ref="O18" si="2">SUM(C18:N18)</f>
        <v>0</v>
      </c>
    </row>
    <row r="19" spans="2:15" x14ac:dyDescent="0.3">
      <c r="B19" s="70" t="s">
        <v>282</v>
      </c>
      <c r="C19" s="322">
        <f t="shared" ref="C19:O19" si="3">SUM(C17:C18)</f>
        <v>375.84755999999999</v>
      </c>
      <c r="D19" s="322">
        <f t="shared" si="3"/>
        <v>388.375812</v>
      </c>
      <c r="E19" s="322">
        <f t="shared" si="3"/>
        <v>375.84755999999999</v>
      </c>
      <c r="F19" s="322">
        <f t="shared" si="3"/>
        <v>388.375812</v>
      </c>
      <c r="G19" s="322">
        <f t="shared" si="3"/>
        <v>388.375812</v>
      </c>
      <c r="H19" s="322">
        <f t="shared" si="3"/>
        <v>375.84755999999999</v>
      </c>
      <c r="I19" s="322">
        <f t="shared" si="3"/>
        <v>388.375812</v>
      </c>
      <c r="J19" s="322">
        <f t="shared" si="3"/>
        <v>375.84755999999999</v>
      </c>
      <c r="K19" s="322">
        <f t="shared" si="3"/>
        <v>388.375812</v>
      </c>
      <c r="L19" s="322">
        <f t="shared" si="3"/>
        <v>388.375812</v>
      </c>
      <c r="M19" s="322">
        <f t="shared" si="3"/>
        <v>350.79105599999997</v>
      </c>
      <c r="N19" s="322">
        <f t="shared" si="3"/>
        <v>388.375812</v>
      </c>
      <c r="O19" s="322">
        <f t="shared" si="3"/>
        <v>4572.8119800000004</v>
      </c>
    </row>
    <row r="22" spans="2:15" x14ac:dyDescent="0.3">
      <c r="B22" s="56" t="s">
        <v>664</v>
      </c>
      <c r="C22" s="28"/>
      <c r="D22" s="28"/>
      <c r="E22" s="28"/>
      <c r="F22" s="28"/>
      <c r="G22" s="28"/>
      <c r="H22" s="28"/>
      <c r="I22" s="410"/>
    </row>
    <row r="23" spans="2:15" x14ac:dyDescent="0.3">
      <c r="B23" s="56" t="s">
        <v>604</v>
      </c>
      <c r="C23" s="63"/>
      <c r="D23" s="63"/>
      <c r="O23" s="63" t="s">
        <v>288</v>
      </c>
    </row>
    <row r="24" spans="2:15" x14ac:dyDescent="0.3">
      <c r="B24" s="108" t="s">
        <v>289</v>
      </c>
      <c r="C24" s="407" t="s">
        <v>290</v>
      </c>
      <c r="D24" s="407" t="s">
        <v>291</v>
      </c>
      <c r="E24" s="109" t="s">
        <v>292</v>
      </c>
      <c r="F24" s="109" t="s">
        <v>293</v>
      </c>
      <c r="G24" s="109" t="s">
        <v>294</v>
      </c>
      <c r="H24" s="109" t="s">
        <v>295</v>
      </c>
      <c r="I24" s="109" t="s">
        <v>296</v>
      </c>
      <c r="J24" s="109" t="s">
        <v>297</v>
      </c>
      <c r="K24" s="109" t="s">
        <v>298</v>
      </c>
      <c r="L24" s="109" t="s">
        <v>299</v>
      </c>
      <c r="M24" s="109" t="s">
        <v>300</v>
      </c>
      <c r="N24" s="109" t="s">
        <v>301</v>
      </c>
      <c r="O24" s="109" t="s">
        <v>282</v>
      </c>
    </row>
    <row r="25" spans="2:15" x14ac:dyDescent="0.3">
      <c r="B25" s="110" t="s">
        <v>639</v>
      </c>
      <c r="C25" s="326">
        <f>660*24/1000*30*0.85*(1-'F2.1'!$G$36)</f>
        <v>375.84755999999999</v>
      </c>
      <c r="D25" s="326">
        <f>660*24/1000*31*0.85*(1-'F2.1'!$G$36)</f>
        <v>388.375812</v>
      </c>
      <c r="E25" s="326">
        <f>660*24/1000*30*0.85*(1-'F2.1'!$G$36)</f>
        <v>375.84755999999999</v>
      </c>
      <c r="F25" s="326">
        <f>660*24/1000*31*0.85*(1-'F2.1'!$G$36)</f>
        <v>388.375812</v>
      </c>
      <c r="G25" s="326">
        <f>660*24/1000*31*0.85*(1-'F2.1'!$G$36)</f>
        <v>388.375812</v>
      </c>
      <c r="H25" s="326">
        <f>660*24/1000*30*0.85*(1-'F2.1'!$G$36)</f>
        <v>375.84755999999999</v>
      </c>
      <c r="I25" s="326">
        <f>660*24/1000*31*0.85*(1-'F2.1'!$G$36)</f>
        <v>388.375812</v>
      </c>
      <c r="J25" s="326">
        <f>660*24/1000*30*0.85*(1-'F2.1'!$G$36)</f>
        <v>375.84755999999999</v>
      </c>
      <c r="K25" s="326">
        <f>660*24/1000*31*0.85*(1-'F2.1'!$G$36)</f>
        <v>388.375812</v>
      </c>
      <c r="L25" s="326">
        <f>660*24/1000*31*0.85*(1-'F2.1'!$G$36)</f>
        <v>388.375812</v>
      </c>
      <c r="M25" s="326">
        <f>660*24/1000*28*0.85*(1-'F2.1'!$G$36)</f>
        <v>350.79105599999997</v>
      </c>
      <c r="N25" s="326">
        <f>660*24/1000*31*0.85*(1-'F2.1'!$G$36)</f>
        <v>388.375812</v>
      </c>
      <c r="O25" s="322">
        <f>SUM(C25:N25)</f>
        <v>4572.8119800000004</v>
      </c>
    </row>
    <row r="26" spans="2:15" x14ac:dyDescent="0.3">
      <c r="B26" s="79"/>
      <c r="C26" s="20"/>
      <c r="D26" s="20"/>
      <c r="E26" s="20"/>
      <c r="F26" s="20"/>
      <c r="G26" s="20"/>
      <c r="H26" s="20"/>
      <c r="I26" s="20"/>
      <c r="J26" s="20"/>
      <c r="K26" s="20"/>
      <c r="L26" s="20"/>
      <c r="M26" s="20"/>
      <c r="N26" s="20"/>
      <c r="O26" s="322">
        <f t="shared" ref="O26" si="4">SUM(C26:N26)</f>
        <v>0</v>
      </c>
    </row>
    <row r="27" spans="2:15" x14ac:dyDescent="0.3">
      <c r="B27" s="70" t="s">
        <v>282</v>
      </c>
      <c r="C27" s="322">
        <f t="shared" ref="C27:O27" si="5">SUM(C25:C26)</f>
        <v>375.84755999999999</v>
      </c>
      <c r="D27" s="322">
        <f t="shared" si="5"/>
        <v>388.375812</v>
      </c>
      <c r="E27" s="322">
        <f t="shared" si="5"/>
        <v>375.84755999999999</v>
      </c>
      <c r="F27" s="322">
        <f t="shared" si="5"/>
        <v>388.375812</v>
      </c>
      <c r="G27" s="322">
        <f t="shared" si="5"/>
        <v>388.375812</v>
      </c>
      <c r="H27" s="322">
        <f t="shared" si="5"/>
        <v>375.84755999999999</v>
      </c>
      <c r="I27" s="322">
        <f t="shared" si="5"/>
        <v>388.375812</v>
      </c>
      <c r="J27" s="322">
        <f t="shared" si="5"/>
        <v>375.84755999999999</v>
      </c>
      <c r="K27" s="322">
        <f t="shared" si="5"/>
        <v>388.375812</v>
      </c>
      <c r="L27" s="322">
        <f t="shared" si="5"/>
        <v>388.375812</v>
      </c>
      <c r="M27" s="322">
        <f t="shared" si="5"/>
        <v>350.79105599999997</v>
      </c>
      <c r="N27" s="322">
        <f t="shared" si="5"/>
        <v>388.375812</v>
      </c>
      <c r="O27" s="322">
        <f t="shared" si="5"/>
        <v>4572.8119800000004</v>
      </c>
    </row>
    <row r="30" spans="2:15" x14ac:dyDescent="0.3">
      <c r="B30" s="56" t="s">
        <v>665</v>
      </c>
      <c r="C30" s="28"/>
      <c r="D30" s="28"/>
      <c r="E30" s="28"/>
      <c r="F30" s="28"/>
      <c r="G30" s="28"/>
      <c r="H30" s="28"/>
      <c r="I30" s="410"/>
    </row>
    <row r="31" spans="2:15" x14ac:dyDescent="0.3">
      <c r="B31" s="56" t="s">
        <v>604</v>
      </c>
      <c r="C31" s="63"/>
      <c r="D31" s="63"/>
      <c r="O31" s="63" t="s">
        <v>288</v>
      </c>
    </row>
    <row r="32" spans="2:15" x14ac:dyDescent="0.3">
      <c r="B32" s="108" t="s">
        <v>289</v>
      </c>
      <c r="C32" s="407" t="s">
        <v>290</v>
      </c>
      <c r="D32" s="407" t="s">
        <v>291</v>
      </c>
      <c r="E32" s="109" t="s">
        <v>292</v>
      </c>
      <c r="F32" s="109" t="s">
        <v>293</v>
      </c>
      <c r="G32" s="109" t="s">
        <v>294</v>
      </c>
      <c r="H32" s="109" t="s">
        <v>295</v>
      </c>
      <c r="I32" s="109" t="s">
        <v>296</v>
      </c>
      <c r="J32" s="109" t="s">
        <v>297</v>
      </c>
      <c r="K32" s="109" t="s">
        <v>298</v>
      </c>
      <c r="L32" s="109" t="s">
        <v>299</v>
      </c>
      <c r="M32" s="109" t="s">
        <v>300</v>
      </c>
      <c r="N32" s="109" t="s">
        <v>301</v>
      </c>
      <c r="O32" s="109" t="s">
        <v>282</v>
      </c>
    </row>
    <row r="33" spans="2:15" x14ac:dyDescent="0.3">
      <c r="B33" s="110" t="s">
        <v>639</v>
      </c>
      <c r="C33" s="326">
        <f>660*24/1000*30*0.85*(1-'F2.1'!$H$36)</f>
        <v>375.84755999999999</v>
      </c>
      <c r="D33" s="326">
        <f>660*24/1000*31*0.85*(1-'F2.1'!$H$36)</f>
        <v>388.375812</v>
      </c>
      <c r="E33" s="326">
        <f>660*24/1000*30*0.85*(1-'F2.1'!$H$36)</f>
        <v>375.84755999999999</v>
      </c>
      <c r="F33" s="326">
        <f>660*24/1000*31*0.85*(1-'F2.1'!$H$36)</f>
        <v>388.375812</v>
      </c>
      <c r="G33" s="326">
        <f>660*24/1000*31*0.85*(1-'F2.1'!$H$36)</f>
        <v>388.375812</v>
      </c>
      <c r="H33" s="326">
        <f>660*24/1000*30*0.85*(1-'F2.1'!$H$36)</f>
        <v>375.84755999999999</v>
      </c>
      <c r="I33" s="326">
        <f>660*24/1000*31*0.85*(1-'F2.1'!$H$36)</f>
        <v>388.375812</v>
      </c>
      <c r="J33" s="326">
        <f>660*24/1000*30*0.85*(1-'F2.1'!$H$36)</f>
        <v>375.84755999999999</v>
      </c>
      <c r="K33" s="326">
        <f>660*24/1000*31*0.85*(1-'F2.1'!$H$36)</f>
        <v>388.375812</v>
      </c>
      <c r="L33" s="326">
        <f>660*24/1000*31*0.85*(1-'F2.1'!$H$36)</f>
        <v>388.375812</v>
      </c>
      <c r="M33" s="326">
        <f>660*24/1000*29*0.85*(1-'F2.1'!$H$36)</f>
        <v>363.31930800000004</v>
      </c>
      <c r="N33" s="326">
        <f>660*24/1000*31*0.85*(1-'F2.1'!$H$36)</f>
        <v>388.375812</v>
      </c>
      <c r="O33" s="322">
        <f>SUM(C33:N33)</f>
        <v>4585.3402320000005</v>
      </c>
    </row>
    <row r="34" spans="2:15" x14ac:dyDescent="0.3">
      <c r="B34" s="79"/>
      <c r="C34" s="20"/>
      <c r="D34" s="20"/>
      <c r="E34" s="20"/>
      <c r="F34" s="20"/>
      <c r="G34" s="20"/>
      <c r="H34" s="20"/>
      <c r="I34" s="20"/>
      <c r="J34" s="20"/>
      <c r="K34" s="20"/>
      <c r="L34" s="20"/>
      <c r="M34" s="20"/>
      <c r="N34" s="20"/>
      <c r="O34" s="322">
        <f t="shared" ref="O34" si="6">SUM(C34:N34)</f>
        <v>0</v>
      </c>
    </row>
    <row r="35" spans="2:15" x14ac:dyDescent="0.3">
      <c r="B35" s="70" t="s">
        <v>282</v>
      </c>
      <c r="C35" s="322">
        <f t="shared" ref="C35:O35" si="7">SUM(C33:C34)</f>
        <v>375.84755999999999</v>
      </c>
      <c r="D35" s="322">
        <f t="shared" si="7"/>
        <v>388.375812</v>
      </c>
      <c r="E35" s="322">
        <f t="shared" si="7"/>
        <v>375.84755999999999</v>
      </c>
      <c r="F35" s="322">
        <f t="shared" si="7"/>
        <v>388.375812</v>
      </c>
      <c r="G35" s="322">
        <f t="shared" si="7"/>
        <v>388.375812</v>
      </c>
      <c r="H35" s="322">
        <f t="shared" si="7"/>
        <v>375.84755999999999</v>
      </c>
      <c r="I35" s="322">
        <f t="shared" si="7"/>
        <v>388.375812</v>
      </c>
      <c r="J35" s="322">
        <f t="shared" si="7"/>
        <v>375.84755999999999</v>
      </c>
      <c r="K35" s="322">
        <f t="shared" si="7"/>
        <v>388.375812</v>
      </c>
      <c r="L35" s="322">
        <f t="shared" si="7"/>
        <v>388.375812</v>
      </c>
      <c r="M35" s="322">
        <f t="shared" si="7"/>
        <v>363.31930800000004</v>
      </c>
      <c r="N35" s="322">
        <f t="shared" si="7"/>
        <v>388.375812</v>
      </c>
      <c r="O35" s="322">
        <f t="shared" si="7"/>
        <v>4585.3402320000005</v>
      </c>
    </row>
    <row r="38" spans="2:15" x14ac:dyDescent="0.3">
      <c r="B38" s="56" t="s">
        <v>666</v>
      </c>
      <c r="C38" s="28"/>
      <c r="D38" s="28"/>
      <c r="E38" s="28"/>
      <c r="F38" s="28"/>
      <c r="G38" s="28"/>
      <c r="H38" s="28"/>
      <c r="I38" s="410"/>
    </row>
    <row r="39" spans="2:15" x14ac:dyDescent="0.3">
      <c r="B39" s="56" t="s">
        <v>604</v>
      </c>
      <c r="C39" s="63"/>
      <c r="D39" s="63"/>
      <c r="O39" s="63" t="s">
        <v>288</v>
      </c>
    </row>
    <row r="40" spans="2:15" x14ac:dyDescent="0.3">
      <c r="B40" s="108" t="s">
        <v>289</v>
      </c>
      <c r="C40" s="407" t="s">
        <v>290</v>
      </c>
      <c r="D40" s="407" t="s">
        <v>291</v>
      </c>
      <c r="E40" s="109" t="s">
        <v>292</v>
      </c>
      <c r="F40" s="109" t="s">
        <v>293</v>
      </c>
      <c r="G40" s="109" t="s">
        <v>294</v>
      </c>
      <c r="H40" s="109" t="s">
        <v>295</v>
      </c>
      <c r="I40" s="109" t="s">
        <v>296</v>
      </c>
      <c r="J40" s="109" t="s">
        <v>297</v>
      </c>
      <c r="K40" s="109" t="s">
        <v>298</v>
      </c>
      <c r="L40" s="109" t="s">
        <v>299</v>
      </c>
      <c r="M40" s="109" t="s">
        <v>300</v>
      </c>
      <c r="N40" s="109" t="s">
        <v>301</v>
      </c>
      <c r="O40" s="109" t="s">
        <v>282</v>
      </c>
    </row>
    <row r="41" spans="2:15" x14ac:dyDescent="0.3">
      <c r="B41" s="110" t="s">
        <v>639</v>
      </c>
      <c r="C41" s="326">
        <f>660*24/1000*30*0.85*(1-'F2.1'!$I$36)</f>
        <v>375.84755999999999</v>
      </c>
      <c r="D41" s="326">
        <f>660*24/1000*31*0.85*(1-'F2.1'!$I$36)</f>
        <v>388.375812</v>
      </c>
      <c r="E41" s="326">
        <f>660*24/1000*30*0.85*(1-'F2.1'!$I$36)</f>
        <v>375.84755999999999</v>
      </c>
      <c r="F41" s="326">
        <f>660*24/1000*31*0.85*(1-'F2.1'!$I$36)</f>
        <v>388.375812</v>
      </c>
      <c r="G41" s="326">
        <f>660*24/1000*31*0.85*(1-'F2.1'!$I$36)</f>
        <v>388.375812</v>
      </c>
      <c r="H41" s="326">
        <f>660*24/1000*30*0.85*(1-'F2.1'!$I$36)</f>
        <v>375.84755999999999</v>
      </c>
      <c r="I41" s="326">
        <f>660*24/1000*31*0.85*(1-'F2.1'!$I$36)</f>
        <v>388.375812</v>
      </c>
      <c r="J41" s="326">
        <f>660*24/1000*30*0.85*(1-'F2.1'!$I$36)</f>
        <v>375.84755999999999</v>
      </c>
      <c r="K41" s="326">
        <f>660*24/1000*31*0.85*(1-'F2.1'!$I$36)</f>
        <v>388.375812</v>
      </c>
      <c r="L41" s="326">
        <f>660*24/1000*31*0.85*(1-'F2.1'!$I$36)</f>
        <v>388.375812</v>
      </c>
      <c r="M41" s="326">
        <f>660*24/1000*28*0.85*(1-'F2.1'!$I$36)</f>
        <v>350.79105599999997</v>
      </c>
      <c r="N41" s="326">
        <f>660*24/1000*31*0.85*(1-'F2.1'!$I$36)</f>
        <v>388.375812</v>
      </c>
      <c r="O41" s="322">
        <f>SUM(C41:N41)</f>
        <v>4572.8119800000004</v>
      </c>
    </row>
    <row r="42" spans="2:15" x14ac:dyDescent="0.3">
      <c r="B42" s="79"/>
      <c r="C42" s="20"/>
      <c r="D42" s="20"/>
      <c r="E42" s="20"/>
      <c r="F42" s="20"/>
      <c r="G42" s="20"/>
      <c r="H42" s="20"/>
      <c r="I42" s="20"/>
      <c r="J42" s="20"/>
      <c r="K42" s="20"/>
      <c r="L42" s="20"/>
      <c r="M42" s="20"/>
      <c r="N42" s="20"/>
      <c r="O42" s="322">
        <f t="shared" ref="O42" si="8">SUM(C42:N42)</f>
        <v>0</v>
      </c>
    </row>
    <row r="43" spans="2:15" x14ac:dyDescent="0.3">
      <c r="B43" s="70" t="s">
        <v>282</v>
      </c>
      <c r="C43" s="322">
        <f t="shared" ref="C43:O43" si="9">SUM(C41:C42)</f>
        <v>375.84755999999999</v>
      </c>
      <c r="D43" s="322">
        <f t="shared" si="9"/>
        <v>388.375812</v>
      </c>
      <c r="E43" s="322">
        <f t="shared" si="9"/>
        <v>375.84755999999999</v>
      </c>
      <c r="F43" s="322">
        <f t="shared" si="9"/>
        <v>388.375812</v>
      </c>
      <c r="G43" s="322">
        <f t="shared" si="9"/>
        <v>388.375812</v>
      </c>
      <c r="H43" s="322">
        <f t="shared" si="9"/>
        <v>375.84755999999999</v>
      </c>
      <c r="I43" s="322">
        <f t="shared" si="9"/>
        <v>388.375812</v>
      </c>
      <c r="J43" s="322">
        <f t="shared" si="9"/>
        <v>375.84755999999999</v>
      </c>
      <c r="K43" s="322">
        <f t="shared" si="9"/>
        <v>388.375812</v>
      </c>
      <c r="L43" s="322">
        <f t="shared" si="9"/>
        <v>388.375812</v>
      </c>
      <c r="M43" s="322">
        <f t="shared" si="9"/>
        <v>350.79105599999997</v>
      </c>
      <c r="N43" s="322">
        <f t="shared" si="9"/>
        <v>388.375812</v>
      </c>
      <c r="O43" s="322">
        <f t="shared" si="9"/>
        <v>4572.8119800000004</v>
      </c>
    </row>
    <row r="46" spans="2:15" x14ac:dyDescent="0.3">
      <c r="B46" s="56" t="s">
        <v>667</v>
      </c>
      <c r="C46" s="28"/>
      <c r="D46" s="28"/>
      <c r="E46" s="28"/>
      <c r="F46" s="28"/>
      <c r="G46" s="28"/>
      <c r="H46" s="28"/>
      <c r="I46" s="410"/>
    </row>
    <row r="47" spans="2:15" x14ac:dyDescent="0.3">
      <c r="B47" s="56" t="s">
        <v>604</v>
      </c>
      <c r="C47" s="63"/>
      <c r="D47" s="63"/>
      <c r="O47" s="63" t="s">
        <v>288</v>
      </c>
    </row>
    <row r="48" spans="2:15" x14ac:dyDescent="0.3">
      <c r="B48" s="108" t="s">
        <v>289</v>
      </c>
      <c r="C48" s="407" t="s">
        <v>290</v>
      </c>
      <c r="D48" s="407" t="s">
        <v>291</v>
      </c>
      <c r="E48" s="109" t="s">
        <v>292</v>
      </c>
      <c r="F48" s="109" t="s">
        <v>293</v>
      </c>
      <c r="G48" s="109" t="s">
        <v>294</v>
      </c>
      <c r="H48" s="109" t="s">
        <v>295</v>
      </c>
      <c r="I48" s="109" t="s">
        <v>296</v>
      </c>
      <c r="J48" s="109" t="s">
        <v>297</v>
      </c>
      <c r="K48" s="109" t="s">
        <v>298</v>
      </c>
      <c r="L48" s="109" t="s">
        <v>299</v>
      </c>
      <c r="M48" s="109" t="s">
        <v>300</v>
      </c>
      <c r="N48" s="109" t="s">
        <v>301</v>
      </c>
      <c r="O48" s="109" t="s">
        <v>282</v>
      </c>
    </row>
    <row r="49" spans="2:15" x14ac:dyDescent="0.3">
      <c r="B49" s="110" t="s">
        <v>639</v>
      </c>
      <c r="C49" s="326">
        <f>660*24/1000*30*0.85*(1-'F2.1'!$J$36)</f>
        <v>375.84755999999999</v>
      </c>
      <c r="D49" s="326">
        <f>660*24/1000*31*0.85*(1-'F2.1'!$J$36)</f>
        <v>388.375812</v>
      </c>
      <c r="E49" s="326">
        <f>660*24/1000*30*0.85*(1-'F2.1'!$J$36)</f>
        <v>375.84755999999999</v>
      </c>
      <c r="F49" s="326">
        <f>660*24/1000*31*0.85*(1-'F2.1'!$J$36)</f>
        <v>388.375812</v>
      </c>
      <c r="G49" s="326">
        <f>660*24/1000*31*0.85*(1-'F2.1'!$J$36)</f>
        <v>388.375812</v>
      </c>
      <c r="H49" s="326">
        <f>660*24/1000*30*0.85*(1-'F2.1'!$J$36)</f>
        <v>375.84755999999999</v>
      </c>
      <c r="I49" s="326">
        <f>660*24/1000*31*0.85*(1-'F2.1'!$J$36)</f>
        <v>388.375812</v>
      </c>
      <c r="J49" s="326">
        <f>660*24/1000*30*0.85*(1-'F2.1'!$J$36)</f>
        <v>375.84755999999999</v>
      </c>
      <c r="K49" s="326">
        <f>660*24/1000*31*0.85*(1-'F2.1'!$J$36)</f>
        <v>388.375812</v>
      </c>
      <c r="L49" s="326">
        <f>660*24/1000*31*0.85*(1-'F2.1'!$J$36)</f>
        <v>388.375812</v>
      </c>
      <c r="M49" s="326">
        <f>660*24/1000*28*0.85*(1-'F2.1'!$J$36)</f>
        <v>350.79105599999997</v>
      </c>
      <c r="N49" s="326">
        <f>660*24/1000*31*0.85*(1-'F2.1'!$J$36)</f>
        <v>388.375812</v>
      </c>
      <c r="O49" s="322">
        <f>SUM(C49:N49)</f>
        <v>4572.8119800000004</v>
      </c>
    </row>
    <row r="50" spans="2:15" x14ac:dyDescent="0.3">
      <c r="B50" s="79"/>
      <c r="C50" s="20"/>
      <c r="D50" s="20"/>
      <c r="E50" s="20"/>
      <c r="F50" s="20"/>
      <c r="G50" s="20"/>
      <c r="H50" s="20"/>
      <c r="I50" s="20"/>
      <c r="J50" s="20"/>
      <c r="K50" s="20"/>
      <c r="L50" s="20"/>
      <c r="M50" s="20"/>
      <c r="N50" s="20"/>
      <c r="O50" s="322">
        <f t="shared" ref="O50" si="10">SUM(C50:N50)</f>
        <v>0</v>
      </c>
    </row>
    <row r="51" spans="2:15" x14ac:dyDescent="0.3">
      <c r="B51" s="70" t="s">
        <v>282</v>
      </c>
      <c r="C51" s="322">
        <f t="shared" ref="C51:O51" si="11">SUM(C49:C50)</f>
        <v>375.84755999999999</v>
      </c>
      <c r="D51" s="322">
        <f t="shared" si="11"/>
        <v>388.375812</v>
      </c>
      <c r="E51" s="322">
        <f t="shared" si="11"/>
        <v>375.84755999999999</v>
      </c>
      <c r="F51" s="322">
        <f t="shared" si="11"/>
        <v>388.375812</v>
      </c>
      <c r="G51" s="322">
        <f t="shared" si="11"/>
        <v>388.375812</v>
      </c>
      <c r="H51" s="322">
        <f t="shared" si="11"/>
        <v>375.84755999999999</v>
      </c>
      <c r="I51" s="322">
        <f t="shared" si="11"/>
        <v>388.375812</v>
      </c>
      <c r="J51" s="322">
        <f t="shared" si="11"/>
        <v>375.84755999999999</v>
      </c>
      <c r="K51" s="322">
        <f t="shared" si="11"/>
        <v>388.375812</v>
      </c>
      <c r="L51" s="322">
        <f t="shared" si="11"/>
        <v>388.375812</v>
      </c>
      <c r="M51" s="322">
        <f t="shared" si="11"/>
        <v>350.79105599999997</v>
      </c>
      <c r="N51" s="322">
        <f t="shared" si="11"/>
        <v>388.375812</v>
      </c>
      <c r="O51" s="322">
        <f t="shared" si="11"/>
        <v>4572.8119800000004</v>
      </c>
    </row>
  </sheetData>
  <mergeCells count="4">
    <mergeCell ref="B2:O2"/>
    <mergeCell ref="B3:O3"/>
    <mergeCell ref="B4:O4"/>
    <mergeCell ref="B5:O5"/>
  </mergeCells>
  <pageMargins left="1.63" right="1.33" top="1" bottom="0.37" header="0.5" footer="0.5"/>
  <pageSetup paperSize="9" scale="6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N59"/>
  <sheetViews>
    <sheetView showGridLines="0" view="pageBreakPreview" topLeftCell="A39" zoomScale="70" zoomScaleNormal="75" zoomScaleSheetLayoutView="70" workbookViewId="0">
      <selection activeCell="C61" sqref="C61"/>
    </sheetView>
  </sheetViews>
  <sheetFormatPr defaultColWidth="9.1796875" defaultRowHeight="13" x14ac:dyDescent="0.25"/>
  <cols>
    <col min="1" max="1" width="9.1796875" style="71"/>
    <col min="2" max="2" width="29.453125" style="71" customWidth="1"/>
    <col min="3" max="6" width="12.26953125" style="71" customWidth="1"/>
    <col min="7" max="9" width="10.26953125" style="71" customWidth="1"/>
    <col min="10" max="14" width="11.81640625" style="71" customWidth="1"/>
    <col min="15" max="16384" width="9.1796875" style="71"/>
  </cols>
  <sheetData>
    <row r="1" spans="2:14" s="9" customFormat="1" ht="14" x14ac:dyDescent="0.3">
      <c r="B1" s="68"/>
    </row>
    <row r="2" spans="2:14" s="9" customFormat="1" ht="14" x14ac:dyDescent="0.3">
      <c r="B2" s="447" t="s">
        <v>628</v>
      </c>
      <c r="C2" s="447"/>
      <c r="D2" s="447"/>
      <c r="E2" s="447"/>
      <c r="F2" s="447"/>
      <c r="G2" s="447"/>
      <c r="H2" s="447"/>
      <c r="I2" s="447"/>
      <c r="J2" s="447"/>
      <c r="K2" s="447"/>
      <c r="L2" s="447"/>
      <c r="M2" s="447"/>
      <c r="N2" s="447"/>
    </row>
    <row r="3" spans="2:14" s="9" customFormat="1" ht="14" x14ac:dyDescent="0.3">
      <c r="B3" s="447" t="s">
        <v>602</v>
      </c>
      <c r="C3" s="447"/>
      <c r="D3" s="447"/>
      <c r="E3" s="447"/>
      <c r="F3" s="447"/>
      <c r="G3" s="447"/>
      <c r="H3" s="447"/>
      <c r="I3" s="447"/>
      <c r="J3" s="447"/>
      <c r="K3" s="447"/>
      <c r="L3" s="447"/>
      <c r="M3" s="447"/>
      <c r="N3" s="447"/>
    </row>
    <row r="4" spans="2:14" s="9" customFormat="1" ht="14" x14ac:dyDescent="0.3">
      <c r="B4" s="447" t="s">
        <v>355</v>
      </c>
      <c r="C4" s="447"/>
      <c r="D4" s="447"/>
      <c r="E4" s="447"/>
      <c r="F4" s="447"/>
      <c r="G4" s="447"/>
      <c r="H4" s="447"/>
      <c r="I4" s="447"/>
      <c r="J4" s="447"/>
      <c r="K4" s="447"/>
      <c r="L4" s="447"/>
      <c r="M4" s="447"/>
      <c r="N4" s="447"/>
    </row>
    <row r="5" spans="2:14" ht="14" x14ac:dyDescent="0.25">
      <c r="B5" s="447" t="s">
        <v>629</v>
      </c>
      <c r="C5" s="447"/>
      <c r="D5" s="447"/>
      <c r="E5" s="447"/>
      <c r="F5" s="447"/>
      <c r="G5" s="447"/>
      <c r="H5" s="447"/>
      <c r="I5" s="447"/>
      <c r="J5" s="447"/>
      <c r="K5" s="447"/>
      <c r="L5" s="447"/>
      <c r="M5" s="447"/>
      <c r="N5" s="447"/>
    </row>
    <row r="6" spans="2:14" x14ac:dyDescent="0.25">
      <c r="B6" s="75"/>
      <c r="C6" s="76"/>
      <c r="D6" s="76"/>
      <c r="E6" s="76"/>
      <c r="F6" s="76"/>
      <c r="G6" s="76"/>
      <c r="H6" s="76"/>
      <c r="I6" s="76"/>
      <c r="J6" s="76"/>
      <c r="K6" s="76"/>
      <c r="L6" s="76"/>
      <c r="M6" s="76"/>
      <c r="N6" s="76"/>
    </row>
    <row r="7" spans="2:14" ht="14" x14ac:dyDescent="0.3">
      <c r="B7" s="56" t="s">
        <v>631</v>
      </c>
    </row>
    <row r="8" spans="2:14" ht="14" x14ac:dyDescent="0.3">
      <c r="B8" s="56" t="s">
        <v>31</v>
      </c>
      <c r="N8" s="72" t="s">
        <v>16</v>
      </c>
    </row>
    <row r="9" spans="2:14" s="116" customFormat="1" ht="45.75" customHeight="1" x14ac:dyDescent="0.25">
      <c r="B9" s="542" t="s">
        <v>289</v>
      </c>
      <c r="C9" s="464" t="s">
        <v>302</v>
      </c>
      <c r="D9" s="464"/>
      <c r="E9" s="464"/>
      <c r="F9" s="464"/>
      <c r="G9" s="463" t="s">
        <v>303</v>
      </c>
      <c r="H9" s="463"/>
      <c r="I9" s="463"/>
      <c r="J9" s="543" t="s">
        <v>304</v>
      </c>
      <c r="K9" s="543"/>
      <c r="L9" s="543"/>
      <c r="M9" s="543"/>
      <c r="N9" s="543"/>
    </row>
    <row r="10" spans="2:14" ht="73.150000000000006" customHeight="1" x14ac:dyDescent="0.25">
      <c r="B10" s="544"/>
      <c r="C10" s="294" t="s">
        <v>358</v>
      </c>
      <c r="D10" s="294" t="s">
        <v>356</v>
      </c>
      <c r="E10" s="294" t="s">
        <v>624</v>
      </c>
      <c r="F10" s="294" t="s">
        <v>357</v>
      </c>
      <c r="G10" s="294" t="s">
        <v>305</v>
      </c>
      <c r="H10" s="294" t="s">
        <v>625</v>
      </c>
      <c r="I10" s="294" t="s">
        <v>306</v>
      </c>
      <c r="J10" s="294" t="s">
        <v>307</v>
      </c>
      <c r="K10" s="294" t="s">
        <v>308</v>
      </c>
      <c r="L10" s="294" t="s">
        <v>626</v>
      </c>
      <c r="M10" s="294" t="s">
        <v>627</v>
      </c>
      <c r="N10" s="295" t="s">
        <v>282</v>
      </c>
    </row>
    <row r="11" spans="2:14" s="73" customFormat="1" x14ac:dyDescent="0.25">
      <c r="B11" s="112"/>
      <c r="C11" s="113"/>
      <c r="D11" s="113"/>
      <c r="E11" s="113"/>
      <c r="F11" s="113"/>
      <c r="G11" s="113"/>
      <c r="H11" s="113"/>
      <c r="I11" s="113"/>
      <c r="J11" s="113"/>
      <c r="K11" s="113"/>
      <c r="L11" s="113"/>
      <c r="M11" s="113"/>
      <c r="N11" s="114"/>
    </row>
    <row r="12" spans="2:14" ht="14" x14ac:dyDescent="0.25">
      <c r="B12" s="110" t="s">
        <v>639</v>
      </c>
      <c r="C12" s="357">
        <f ca="1">'F1'!E22-'F1'!E9</f>
        <v>179.71346976553008</v>
      </c>
      <c r="D12" s="357">
        <f>'F2.2'!$E$123</f>
        <v>3.5070872316104684</v>
      </c>
      <c r="E12" s="115"/>
      <c r="F12" s="115"/>
      <c r="G12" s="358">
        <f>'F8'!O11</f>
        <v>739.16686800000002</v>
      </c>
      <c r="H12" s="362">
        <v>1</v>
      </c>
      <c r="I12" s="115"/>
      <c r="J12" s="357">
        <f ca="1">C12</f>
        <v>179.71346976553008</v>
      </c>
      <c r="K12" s="361">
        <f>G12*D12/10</f>
        <v>259.23226847923007</v>
      </c>
      <c r="L12" s="115"/>
      <c r="M12" s="115"/>
      <c r="N12" s="360">
        <f ca="1">SUM(J12:M12)</f>
        <v>438.94573824476015</v>
      </c>
    </row>
    <row r="13" spans="2:14" x14ac:dyDescent="0.25">
      <c r="B13" s="74"/>
      <c r="C13" s="74"/>
      <c r="D13" s="74"/>
      <c r="E13" s="74"/>
      <c r="F13" s="74"/>
      <c r="G13" s="74"/>
      <c r="H13" s="74"/>
      <c r="I13" s="74"/>
      <c r="J13" s="74"/>
      <c r="K13" s="74"/>
      <c r="L13" s="74"/>
      <c r="M13" s="74"/>
      <c r="N13" s="74"/>
    </row>
    <row r="14" spans="2:14" ht="14" x14ac:dyDescent="0.25">
      <c r="B14" s="110" t="s">
        <v>282</v>
      </c>
      <c r="C14" s="74"/>
      <c r="D14" s="74"/>
      <c r="E14" s="74"/>
      <c r="F14" s="74"/>
      <c r="G14" s="359">
        <f>SUM(G11:G13)</f>
        <v>739.16686800000002</v>
      </c>
      <c r="H14" s="74"/>
      <c r="I14" s="74"/>
      <c r="J14" s="359">
        <f t="shared" ref="J14:N14" ca="1" si="0">SUM(J11:J13)</f>
        <v>179.71346976553008</v>
      </c>
      <c r="K14" s="359">
        <f t="shared" si="0"/>
        <v>259.23226847923007</v>
      </c>
      <c r="L14" s="359">
        <f t="shared" si="0"/>
        <v>0</v>
      </c>
      <c r="M14" s="359">
        <f t="shared" si="0"/>
        <v>0</v>
      </c>
      <c r="N14" s="359">
        <f t="shared" ca="1" si="0"/>
        <v>438.94573824476015</v>
      </c>
    </row>
    <row r="16" spans="2:14" ht="14" x14ac:dyDescent="0.3">
      <c r="B16" s="56" t="s">
        <v>656</v>
      </c>
    </row>
    <row r="17" spans="2:14" ht="14" x14ac:dyDescent="0.3">
      <c r="B17" s="56" t="s">
        <v>31</v>
      </c>
      <c r="N17" s="72" t="s">
        <v>16</v>
      </c>
    </row>
    <row r="18" spans="2:14" ht="30.75" customHeight="1" x14ac:dyDescent="0.25">
      <c r="B18" s="542" t="s">
        <v>289</v>
      </c>
      <c r="C18" s="464" t="s">
        <v>302</v>
      </c>
      <c r="D18" s="464"/>
      <c r="E18" s="464"/>
      <c r="F18" s="464"/>
      <c r="G18" s="463" t="s">
        <v>303</v>
      </c>
      <c r="H18" s="463"/>
      <c r="I18" s="463"/>
      <c r="J18" s="543" t="s">
        <v>304</v>
      </c>
      <c r="K18" s="543"/>
      <c r="L18" s="543"/>
      <c r="M18" s="543"/>
      <c r="N18" s="543"/>
    </row>
    <row r="19" spans="2:14" ht="70.150000000000006" customHeight="1" x14ac:dyDescent="0.25">
      <c r="B19" s="542"/>
      <c r="C19" s="294" t="s">
        <v>358</v>
      </c>
      <c r="D19" s="294" t="s">
        <v>356</v>
      </c>
      <c r="E19" s="294" t="s">
        <v>624</v>
      </c>
      <c r="F19" s="294" t="s">
        <v>357</v>
      </c>
      <c r="G19" s="294" t="s">
        <v>305</v>
      </c>
      <c r="H19" s="294" t="s">
        <v>625</v>
      </c>
      <c r="I19" s="294" t="s">
        <v>306</v>
      </c>
      <c r="J19" s="294" t="s">
        <v>307</v>
      </c>
      <c r="K19" s="294" t="s">
        <v>308</v>
      </c>
      <c r="L19" s="294" t="s">
        <v>626</v>
      </c>
      <c r="M19" s="294" t="s">
        <v>627</v>
      </c>
      <c r="N19" s="295" t="s">
        <v>282</v>
      </c>
    </row>
    <row r="20" spans="2:14" x14ac:dyDescent="0.25">
      <c r="B20" s="112"/>
      <c r="C20" s="113"/>
      <c r="D20" s="113"/>
      <c r="E20" s="113"/>
      <c r="F20" s="113"/>
      <c r="G20" s="113"/>
      <c r="H20" s="113"/>
      <c r="I20" s="113"/>
      <c r="J20" s="113"/>
      <c r="K20" s="113"/>
      <c r="L20" s="113"/>
      <c r="M20" s="113"/>
      <c r="N20" s="114"/>
    </row>
    <row r="21" spans="2:14" ht="14" x14ac:dyDescent="0.25">
      <c r="B21" s="110" t="s">
        <v>639</v>
      </c>
      <c r="C21" s="357">
        <f ca="1">'F1'!F22-'F1'!F9</f>
        <v>1208.5175490455269</v>
      </c>
      <c r="D21" s="357">
        <f>'F2.2'!$F$123</f>
        <v>4.2589698235724143</v>
      </c>
      <c r="E21" s="115"/>
      <c r="F21" s="115"/>
      <c r="G21" s="358">
        <f>'F8'!O19</f>
        <v>4572.8119800000004</v>
      </c>
      <c r="H21" s="362">
        <v>1</v>
      </c>
      <c r="I21" s="115"/>
      <c r="J21" s="357">
        <f ca="1">C21</f>
        <v>1208.5175490455269</v>
      </c>
      <c r="K21" s="361">
        <f>G21*D21/10</f>
        <v>1947.5468231690425</v>
      </c>
      <c r="L21" s="115"/>
      <c r="M21" s="115"/>
      <c r="N21" s="360">
        <f ca="1">SUM(J21:M21)</f>
        <v>3156.0643722145696</v>
      </c>
    </row>
    <row r="22" spans="2:14" x14ac:dyDescent="0.25">
      <c r="B22" s="74"/>
      <c r="C22" s="74"/>
      <c r="D22" s="74"/>
      <c r="E22" s="74"/>
      <c r="F22" s="74"/>
      <c r="G22" s="74"/>
      <c r="H22" s="74"/>
      <c r="I22" s="74"/>
      <c r="J22" s="74"/>
      <c r="K22" s="74"/>
      <c r="L22" s="74"/>
      <c r="M22" s="74"/>
      <c r="N22" s="74"/>
    </row>
    <row r="23" spans="2:14" ht="14" x14ac:dyDescent="0.25">
      <c r="B23" s="110" t="s">
        <v>282</v>
      </c>
      <c r="C23" s="74"/>
      <c r="D23" s="74"/>
      <c r="E23" s="74"/>
      <c r="F23" s="74"/>
      <c r="G23" s="359">
        <f t="shared" ref="G23" si="1">SUM(G20:G22)</f>
        <v>4572.8119800000004</v>
      </c>
      <c r="H23" s="74"/>
      <c r="I23" s="74"/>
      <c r="J23" s="359">
        <f t="shared" ref="J23" ca="1" si="2">SUM(J20:J22)</f>
        <v>1208.5175490455269</v>
      </c>
      <c r="K23" s="359">
        <f t="shared" ref="K23" si="3">SUM(K20:K22)</f>
        <v>1947.5468231690425</v>
      </c>
      <c r="L23" s="359">
        <f t="shared" ref="L23" si="4">SUM(L20:L22)</f>
        <v>0</v>
      </c>
      <c r="M23" s="359">
        <f t="shared" ref="M23" si="5">SUM(M20:M22)</f>
        <v>0</v>
      </c>
      <c r="N23" s="359">
        <f t="shared" ref="N23" ca="1" si="6">SUM(N20:N22)</f>
        <v>3156.0643722145696</v>
      </c>
    </row>
    <row r="25" spans="2:14" ht="14" x14ac:dyDescent="0.3">
      <c r="B25" s="56" t="s">
        <v>668</v>
      </c>
    </row>
    <row r="26" spans="2:14" ht="14" x14ac:dyDescent="0.3">
      <c r="B26" s="56" t="s">
        <v>31</v>
      </c>
      <c r="N26" s="72" t="s">
        <v>16</v>
      </c>
    </row>
    <row r="27" spans="2:14" ht="14" x14ac:dyDescent="0.25">
      <c r="B27" s="542" t="s">
        <v>289</v>
      </c>
      <c r="C27" s="464" t="s">
        <v>302</v>
      </c>
      <c r="D27" s="464"/>
      <c r="E27" s="464"/>
      <c r="F27" s="464"/>
      <c r="G27" s="463" t="s">
        <v>303</v>
      </c>
      <c r="H27" s="463"/>
      <c r="I27" s="463"/>
      <c r="J27" s="543" t="s">
        <v>304</v>
      </c>
      <c r="K27" s="543"/>
      <c r="L27" s="543"/>
      <c r="M27" s="543"/>
      <c r="N27" s="543"/>
    </row>
    <row r="28" spans="2:14" ht="84" x14ac:dyDescent="0.25">
      <c r="B28" s="542"/>
      <c r="C28" s="407" t="s">
        <v>358</v>
      </c>
      <c r="D28" s="407" t="s">
        <v>356</v>
      </c>
      <c r="E28" s="407" t="s">
        <v>624</v>
      </c>
      <c r="F28" s="407" t="s">
        <v>357</v>
      </c>
      <c r="G28" s="407" t="s">
        <v>305</v>
      </c>
      <c r="H28" s="407" t="s">
        <v>625</v>
      </c>
      <c r="I28" s="407" t="s">
        <v>306</v>
      </c>
      <c r="J28" s="407" t="s">
        <v>307</v>
      </c>
      <c r="K28" s="407" t="s">
        <v>308</v>
      </c>
      <c r="L28" s="407" t="s">
        <v>626</v>
      </c>
      <c r="M28" s="407" t="s">
        <v>627</v>
      </c>
      <c r="N28" s="408" t="s">
        <v>282</v>
      </c>
    </row>
    <row r="29" spans="2:14" x14ac:dyDescent="0.25">
      <c r="B29" s="112"/>
      <c r="C29" s="113"/>
      <c r="D29" s="113"/>
      <c r="E29" s="113"/>
      <c r="F29" s="113"/>
      <c r="G29" s="113"/>
      <c r="H29" s="113"/>
      <c r="I29" s="113"/>
      <c r="J29" s="113"/>
      <c r="K29" s="113"/>
      <c r="L29" s="113"/>
      <c r="M29" s="113"/>
      <c r="N29" s="114"/>
    </row>
    <row r="30" spans="2:14" ht="14" x14ac:dyDescent="0.25">
      <c r="B30" s="110" t="s">
        <v>639</v>
      </c>
      <c r="C30" s="357">
        <f ca="1">'F1'!G22-'F1'!G9</f>
        <v>1212.9263199689331</v>
      </c>
      <c r="D30" s="357">
        <f>'F2.2'!$G$123</f>
        <v>4.4106624094233338</v>
      </c>
      <c r="E30" s="115"/>
      <c r="F30" s="115"/>
      <c r="G30" s="358">
        <f>'F8'!O27</f>
        <v>4572.8119800000004</v>
      </c>
      <c r="H30" s="362">
        <v>1</v>
      </c>
      <c r="I30" s="115"/>
      <c r="J30" s="357">
        <f ca="1">C30</f>
        <v>1212.9263199689331</v>
      </c>
      <c r="K30" s="361">
        <f>G30*D30/10</f>
        <v>2016.9129905546688</v>
      </c>
      <c r="L30" s="115"/>
      <c r="M30" s="115"/>
      <c r="N30" s="360">
        <f ca="1">SUM(J30:M30)</f>
        <v>3229.8393105236019</v>
      </c>
    </row>
    <row r="31" spans="2:14" x14ac:dyDescent="0.25">
      <c r="B31" s="74"/>
      <c r="C31" s="74"/>
      <c r="D31" s="74"/>
      <c r="E31" s="74"/>
      <c r="F31" s="74"/>
      <c r="G31" s="74"/>
      <c r="H31" s="74"/>
      <c r="I31" s="74"/>
      <c r="J31" s="74"/>
      <c r="K31" s="74"/>
      <c r="L31" s="74"/>
      <c r="M31" s="74"/>
      <c r="N31" s="74"/>
    </row>
    <row r="32" spans="2:14" ht="14" x14ac:dyDescent="0.25">
      <c r="B32" s="110" t="s">
        <v>282</v>
      </c>
      <c r="C32" s="74"/>
      <c r="D32" s="74"/>
      <c r="E32" s="74"/>
      <c r="F32" s="74"/>
      <c r="G32" s="359">
        <f t="shared" ref="G32" si="7">SUM(G29:G31)</f>
        <v>4572.8119800000004</v>
      </c>
      <c r="H32" s="74"/>
      <c r="I32" s="74"/>
      <c r="J32" s="359">
        <f t="shared" ref="J32:N32" ca="1" si="8">SUM(J29:J31)</f>
        <v>1212.9263199689331</v>
      </c>
      <c r="K32" s="359">
        <f t="shared" si="8"/>
        <v>2016.9129905546688</v>
      </c>
      <c r="L32" s="359">
        <f t="shared" si="8"/>
        <v>0</v>
      </c>
      <c r="M32" s="359">
        <f t="shared" si="8"/>
        <v>0</v>
      </c>
      <c r="N32" s="359">
        <f t="shared" ca="1" si="8"/>
        <v>3229.8393105236019</v>
      </c>
    </row>
    <row r="34" spans="2:14" ht="14" x14ac:dyDescent="0.3">
      <c r="B34" s="56" t="s">
        <v>669</v>
      </c>
    </row>
    <row r="35" spans="2:14" ht="14" x14ac:dyDescent="0.3">
      <c r="B35" s="56" t="s">
        <v>31</v>
      </c>
      <c r="N35" s="72" t="s">
        <v>16</v>
      </c>
    </row>
    <row r="36" spans="2:14" ht="14" x14ac:dyDescent="0.25">
      <c r="B36" s="542" t="s">
        <v>289</v>
      </c>
      <c r="C36" s="464" t="s">
        <v>302</v>
      </c>
      <c r="D36" s="464"/>
      <c r="E36" s="464"/>
      <c r="F36" s="464"/>
      <c r="G36" s="463" t="s">
        <v>303</v>
      </c>
      <c r="H36" s="463"/>
      <c r="I36" s="463"/>
      <c r="J36" s="543" t="s">
        <v>304</v>
      </c>
      <c r="K36" s="543"/>
      <c r="L36" s="543"/>
      <c r="M36" s="543"/>
      <c r="N36" s="543"/>
    </row>
    <row r="37" spans="2:14" ht="84" x14ac:dyDescent="0.25">
      <c r="B37" s="542"/>
      <c r="C37" s="407" t="s">
        <v>358</v>
      </c>
      <c r="D37" s="407" t="s">
        <v>356</v>
      </c>
      <c r="E37" s="407" t="s">
        <v>624</v>
      </c>
      <c r="F37" s="407" t="s">
        <v>357</v>
      </c>
      <c r="G37" s="407" t="s">
        <v>305</v>
      </c>
      <c r="H37" s="407" t="s">
        <v>625</v>
      </c>
      <c r="I37" s="407" t="s">
        <v>306</v>
      </c>
      <c r="J37" s="407" t="s">
        <v>307</v>
      </c>
      <c r="K37" s="407" t="s">
        <v>308</v>
      </c>
      <c r="L37" s="407" t="s">
        <v>626</v>
      </c>
      <c r="M37" s="407" t="s">
        <v>627</v>
      </c>
      <c r="N37" s="408" t="s">
        <v>282</v>
      </c>
    </row>
    <row r="38" spans="2:14" x14ac:dyDescent="0.25">
      <c r="B38" s="112"/>
      <c r="C38" s="113"/>
      <c r="D38" s="113"/>
      <c r="E38" s="113"/>
      <c r="F38" s="113"/>
      <c r="G38" s="113"/>
      <c r="H38" s="113"/>
      <c r="I38" s="113"/>
      <c r="J38" s="113"/>
      <c r="K38" s="113"/>
      <c r="L38" s="113"/>
      <c r="M38" s="113"/>
      <c r="N38" s="114"/>
    </row>
    <row r="39" spans="2:14" ht="14" x14ac:dyDescent="0.25">
      <c r="B39" s="110" t="s">
        <v>639</v>
      </c>
      <c r="C39" s="357">
        <f ca="1">'F1'!H22-'F1'!H9</f>
        <v>1193.9387657830189</v>
      </c>
      <c r="D39" s="357">
        <f>'F2.2'!$H$123</f>
        <v>4.5691511186575289</v>
      </c>
      <c r="E39" s="115"/>
      <c r="F39" s="115"/>
      <c r="G39" s="358">
        <f>'F8'!O35</f>
        <v>4585.3402320000005</v>
      </c>
      <c r="H39" s="362">
        <v>1</v>
      </c>
      <c r="I39" s="115"/>
      <c r="J39" s="357">
        <f ca="1">C39</f>
        <v>1193.9387657830189</v>
      </c>
      <c r="K39" s="361">
        <f>G39*D39/10</f>
        <v>2095.1112450468177</v>
      </c>
      <c r="L39" s="115"/>
      <c r="M39" s="115"/>
      <c r="N39" s="360">
        <f ca="1">SUM(J39:M39)</f>
        <v>3289.0500108298365</v>
      </c>
    </row>
    <row r="40" spans="2:14" x14ac:dyDescent="0.25">
      <c r="B40" s="74"/>
      <c r="C40" s="74"/>
      <c r="D40" s="74"/>
      <c r="E40" s="74"/>
      <c r="F40" s="74"/>
      <c r="G40" s="74"/>
      <c r="H40" s="74"/>
      <c r="I40" s="74"/>
      <c r="J40" s="74"/>
      <c r="K40" s="74"/>
      <c r="L40" s="74"/>
      <c r="M40" s="74"/>
      <c r="N40" s="74"/>
    </row>
    <row r="41" spans="2:14" ht="14" x14ac:dyDescent="0.25">
      <c r="B41" s="110" t="s">
        <v>282</v>
      </c>
      <c r="C41" s="74"/>
      <c r="D41" s="74"/>
      <c r="E41" s="74"/>
      <c r="F41" s="74"/>
      <c r="G41" s="359">
        <f t="shared" ref="G41" si="9">SUM(G38:G40)</f>
        <v>4585.3402320000005</v>
      </c>
      <c r="H41" s="74"/>
      <c r="I41" s="74"/>
      <c r="J41" s="359">
        <f t="shared" ref="J41:N41" ca="1" si="10">SUM(J38:J40)</f>
        <v>1193.9387657830189</v>
      </c>
      <c r="K41" s="359">
        <f t="shared" si="10"/>
        <v>2095.1112450468177</v>
      </c>
      <c r="L41" s="359">
        <f t="shared" si="10"/>
        <v>0</v>
      </c>
      <c r="M41" s="359">
        <f t="shared" si="10"/>
        <v>0</v>
      </c>
      <c r="N41" s="359">
        <f t="shared" ca="1" si="10"/>
        <v>3289.0500108298365</v>
      </c>
    </row>
    <row r="43" spans="2:14" ht="14" x14ac:dyDescent="0.3">
      <c r="B43" s="56" t="s">
        <v>670</v>
      </c>
    </row>
    <row r="44" spans="2:14" ht="14" x14ac:dyDescent="0.3">
      <c r="B44" s="56" t="s">
        <v>31</v>
      </c>
      <c r="N44" s="72" t="s">
        <v>16</v>
      </c>
    </row>
    <row r="45" spans="2:14" ht="14" x14ac:dyDescent="0.25">
      <c r="B45" s="542" t="s">
        <v>289</v>
      </c>
      <c r="C45" s="464" t="s">
        <v>302</v>
      </c>
      <c r="D45" s="464"/>
      <c r="E45" s="464"/>
      <c r="F45" s="464"/>
      <c r="G45" s="463" t="s">
        <v>303</v>
      </c>
      <c r="H45" s="463"/>
      <c r="I45" s="463"/>
      <c r="J45" s="543" t="s">
        <v>304</v>
      </c>
      <c r="K45" s="543"/>
      <c r="L45" s="543"/>
      <c r="M45" s="543"/>
      <c r="N45" s="543"/>
    </row>
    <row r="46" spans="2:14" ht="84" x14ac:dyDescent="0.25">
      <c r="B46" s="542"/>
      <c r="C46" s="407" t="s">
        <v>358</v>
      </c>
      <c r="D46" s="407" t="s">
        <v>356</v>
      </c>
      <c r="E46" s="407" t="s">
        <v>624</v>
      </c>
      <c r="F46" s="407" t="s">
        <v>357</v>
      </c>
      <c r="G46" s="407" t="s">
        <v>305</v>
      </c>
      <c r="H46" s="407" t="s">
        <v>625</v>
      </c>
      <c r="I46" s="407" t="s">
        <v>306</v>
      </c>
      <c r="J46" s="407" t="s">
        <v>307</v>
      </c>
      <c r="K46" s="407" t="s">
        <v>308</v>
      </c>
      <c r="L46" s="407" t="s">
        <v>626</v>
      </c>
      <c r="M46" s="407" t="s">
        <v>627</v>
      </c>
      <c r="N46" s="408" t="s">
        <v>282</v>
      </c>
    </row>
    <row r="47" spans="2:14" x14ac:dyDescent="0.25">
      <c r="B47" s="112"/>
      <c r="C47" s="113"/>
      <c r="D47" s="113"/>
      <c r="E47" s="113"/>
      <c r="F47" s="113"/>
      <c r="G47" s="113"/>
      <c r="H47" s="113"/>
      <c r="I47" s="113"/>
      <c r="J47" s="113"/>
      <c r="K47" s="113"/>
      <c r="L47" s="113"/>
      <c r="M47" s="113"/>
      <c r="N47" s="114"/>
    </row>
    <row r="48" spans="2:14" ht="14" x14ac:dyDescent="0.25">
      <c r="B48" s="110" t="s">
        <v>639</v>
      </c>
      <c r="C48" s="357">
        <f ca="1">'F1'!I22-'F1'!I9</f>
        <v>1174.8804027017272</v>
      </c>
      <c r="D48" s="357">
        <f>'F2.2'!$I$123</f>
        <v>4.7372171172131905</v>
      </c>
      <c r="E48" s="115"/>
      <c r="F48" s="115"/>
      <c r="G48" s="358">
        <f>'F8'!O43</f>
        <v>4572.8119800000004</v>
      </c>
      <c r="H48" s="362">
        <v>1</v>
      </c>
      <c r="I48" s="115"/>
      <c r="J48" s="357">
        <f ca="1">C48</f>
        <v>1174.8804027017272</v>
      </c>
      <c r="K48" s="361">
        <f>G48*D48/10</f>
        <v>2166.2403185453541</v>
      </c>
      <c r="L48" s="115"/>
      <c r="M48" s="115"/>
      <c r="N48" s="360">
        <f ca="1">SUM(J48:M48)</f>
        <v>3341.1207212470813</v>
      </c>
    </row>
    <row r="49" spans="2:14" x14ac:dyDescent="0.25">
      <c r="B49" s="74"/>
      <c r="C49" s="74"/>
      <c r="D49" s="74"/>
      <c r="E49" s="74"/>
      <c r="F49" s="74"/>
      <c r="G49" s="74"/>
      <c r="H49" s="74"/>
      <c r="I49" s="74"/>
      <c r="J49" s="74"/>
      <c r="K49" s="74"/>
      <c r="L49" s="74"/>
      <c r="M49" s="74"/>
      <c r="N49" s="74"/>
    </row>
    <row r="50" spans="2:14" ht="14" x14ac:dyDescent="0.25">
      <c r="B50" s="110" t="s">
        <v>282</v>
      </c>
      <c r="C50" s="74"/>
      <c r="D50" s="74"/>
      <c r="E50" s="74"/>
      <c r="F50" s="74"/>
      <c r="G50" s="359">
        <f t="shared" ref="G50" si="11">SUM(G47:G49)</f>
        <v>4572.8119800000004</v>
      </c>
      <c r="H50" s="74"/>
      <c r="I50" s="74"/>
      <c r="J50" s="359">
        <f t="shared" ref="J50:N50" ca="1" si="12">SUM(J47:J49)</f>
        <v>1174.8804027017272</v>
      </c>
      <c r="K50" s="359">
        <f t="shared" si="12"/>
        <v>2166.2403185453541</v>
      </c>
      <c r="L50" s="359">
        <f t="shared" si="12"/>
        <v>0</v>
      </c>
      <c r="M50" s="359">
        <f t="shared" si="12"/>
        <v>0</v>
      </c>
      <c r="N50" s="359">
        <f t="shared" ca="1" si="12"/>
        <v>3341.1207212470813</v>
      </c>
    </row>
    <row r="52" spans="2:14" ht="14" x14ac:dyDescent="0.3">
      <c r="B52" s="56" t="s">
        <v>671</v>
      </c>
    </row>
    <row r="53" spans="2:14" ht="14" x14ac:dyDescent="0.3">
      <c r="B53" s="56" t="s">
        <v>31</v>
      </c>
      <c r="N53" s="72" t="s">
        <v>16</v>
      </c>
    </row>
    <row r="54" spans="2:14" ht="14" x14ac:dyDescent="0.25">
      <c r="B54" s="542" t="s">
        <v>289</v>
      </c>
      <c r="C54" s="464" t="s">
        <v>302</v>
      </c>
      <c r="D54" s="464"/>
      <c r="E54" s="464"/>
      <c r="F54" s="464"/>
      <c r="G54" s="463" t="s">
        <v>303</v>
      </c>
      <c r="H54" s="463"/>
      <c r="I54" s="463"/>
      <c r="J54" s="543" t="s">
        <v>304</v>
      </c>
      <c r="K54" s="543"/>
      <c r="L54" s="543"/>
      <c r="M54" s="543"/>
      <c r="N54" s="543"/>
    </row>
    <row r="55" spans="2:14" ht="84" x14ac:dyDescent="0.25">
      <c r="B55" s="542"/>
      <c r="C55" s="407" t="s">
        <v>358</v>
      </c>
      <c r="D55" s="407" t="s">
        <v>356</v>
      </c>
      <c r="E55" s="407" t="s">
        <v>624</v>
      </c>
      <c r="F55" s="407" t="s">
        <v>357</v>
      </c>
      <c r="G55" s="407" t="s">
        <v>305</v>
      </c>
      <c r="H55" s="407" t="s">
        <v>625</v>
      </c>
      <c r="I55" s="407" t="s">
        <v>306</v>
      </c>
      <c r="J55" s="407" t="s">
        <v>307</v>
      </c>
      <c r="K55" s="407" t="s">
        <v>308</v>
      </c>
      <c r="L55" s="407" t="s">
        <v>626</v>
      </c>
      <c r="M55" s="407" t="s">
        <v>627</v>
      </c>
      <c r="N55" s="408" t="s">
        <v>282</v>
      </c>
    </row>
    <row r="56" spans="2:14" x14ac:dyDescent="0.25">
      <c r="B56" s="112"/>
      <c r="C56" s="113"/>
      <c r="D56" s="113"/>
      <c r="E56" s="113"/>
      <c r="F56" s="113"/>
      <c r="G56" s="113"/>
      <c r="H56" s="113"/>
      <c r="I56" s="113"/>
      <c r="J56" s="113"/>
      <c r="K56" s="113"/>
      <c r="L56" s="113"/>
      <c r="M56" s="113"/>
      <c r="N56" s="114"/>
    </row>
    <row r="57" spans="2:14" ht="14" x14ac:dyDescent="0.25">
      <c r="B57" s="110" t="s">
        <v>639</v>
      </c>
      <c r="C57" s="357">
        <f ca="1">'F1'!J22-'F1'!J9</f>
        <v>1155.8677443282459</v>
      </c>
      <c r="D57" s="357">
        <f>'F2.2'!$J$123</f>
        <v>4.9119071704299655</v>
      </c>
      <c r="E57" s="115"/>
      <c r="F57" s="115"/>
      <c r="G57" s="358">
        <f>'F8'!O51</f>
        <v>4572.8119800000004</v>
      </c>
      <c r="H57" s="362">
        <v>1</v>
      </c>
      <c r="I57" s="115"/>
      <c r="J57" s="357">
        <f ca="1">C57</f>
        <v>1155.8677443282459</v>
      </c>
      <c r="K57" s="361">
        <f>G57*D57/10</f>
        <v>2246.1227953590051</v>
      </c>
      <c r="L57" s="115"/>
      <c r="M57" s="115"/>
      <c r="N57" s="360">
        <f ca="1">SUM(J57:M57)</f>
        <v>3401.9905396872509</v>
      </c>
    </row>
    <row r="58" spans="2:14" x14ac:dyDescent="0.25">
      <c r="B58" s="74"/>
      <c r="C58" s="74"/>
      <c r="D58" s="74"/>
      <c r="E58" s="74"/>
      <c r="F58" s="74"/>
      <c r="G58" s="74"/>
      <c r="H58" s="74"/>
      <c r="I58" s="74"/>
      <c r="J58" s="74"/>
      <c r="K58" s="74"/>
      <c r="L58" s="74"/>
      <c r="M58" s="74"/>
      <c r="N58" s="74"/>
    </row>
    <row r="59" spans="2:14" ht="14" x14ac:dyDescent="0.25">
      <c r="B59" s="110" t="s">
        <v>282</v>
      </c>
      <c r="C59" s="74"/>
      <c r="D59" s="74"/>
      <c r="E59" s="74"/>
      <c r="F59" s="74"/>
      <c r="G59" s="359">
        <f t="shared" ref="G59" si="13">SUM(G56:G58)</f>
        <v>4572.8119800000004</v>
      </c>
      <c r="H59" s="74"/>
      <c r="I59" s="74"/>
      <c r="J59" s="359">
        <f t="shared" ref="J59:N59" ca="1" si="14">SUM(J56:J58)</f>
        <v>1155.8677443282459</v>
      </c>
      <c r="K59" s="359">
        <f t="shared" si="14"/>
        <v>2246.1227953590051</v>
      </c>
      <c r="L59" s="359">
        <f t="shared" si="14"/>
        <v>0</v>
      </c>
      <c r="M59" s="359">
        <f t="shared" si="14"/>
        <v>0</v>
      </c>
      <c r="N59" s="359">
        <f t="shared" ca="1" si="14"/>
        <v>3401.9905396872509</v>
      </c>
    </row>
  </sheetData>
  <mergeCells count="28">
    <mergeCell ref="B2:N2"/>
    <mergeCell ref="B3:N3"/>
    <mergeCell ref="B4:N4"/>
    <mergeCell ref="B5:N5"/>
    <mergeCell ref="B18:B19"/>
    <mergeCell ref="C18:F18"/>
    <mergeCell ref="G18:I18"/>
    <mergeCell ref="J18:N18"/>
    <mergeCell ref="B9:B10"/>
    <mergeCell ref="C9:F9"/>
    <mergeCell ref="G9:I9"/>
    <mergeCell ref="J9:N9"/>
    <mergeCell ref="B27:B28"/>
    <mergeCell ref="C27:F27"/>
    <mergeCell ref="G27:I27"/>
    <mergeCell ref="J27:N27"/>
    <mergeCell ref="B36:B37"/>
    <mergeCell ref="C36:F36"/>
    <mergeCell ref="G36:I36"/>
    <mergeCell ref="J36:N36"/>
    <mergeCell ref="B45:B46"/>
    <mergeCell ref="C45:F45"/>
    <mergeCell ref="G45:I45"/>
    <mergeCell ref="J45:N45"/>
    <mergeCell ref="B54:B55"/>
    <mergeCell ref="C54:F54"/>
    <mergeCell ref="G54:I54"/>
    <mergeCell ref="J54:N54"/>
  </mergeCells>
  <pageMargins left="2.2000000000000002" right="0.93" top="0.77" bottom="1" header="0.5" footer="0.5"/>
  <pageSetup paperSize="9" scale="3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Q71"/>
  <sheetViews>
    <sheetView showGridLines="0" view="pageBreakPreview" zoomScale="84" zoomScaleNormal="80" zoomScaleSheetLayoutView="100" workbookViewId="0">
      <selection activeCell="B41" sqref="B41"/>
    </sheetView>
  </sheetViews>
  <sheetFormatPr defaultColWidth="9.1796875" defaultRowHeight="13" x14ac:dyDescent="0.25"/>
  <cols>
    <col min="1" max="1" width="9.1796875" style="73"/>
    <col min="2" max="2" width="5" style="73" customWidth="1"/>
    <col min="3" max="3" width="38.1796875" style="73" customWidth="1"/>
    <col min="4" max="4" width="16.1796875" style="73" customWidth="1"/>
    <col min="5" max="17" width="15.453125" style="73" customWidth="1"/>
    <col min="18" max="16384" width="9.1796875" style="73"/>
  </cols>
  <sheetData>
    <row r="1" spans="2:17" s="215" customFormat="1" x14ac:dyDescent="0.3">
      <c r="B1" s="214"/>
    </row>
    <row r="2" spans="2:17" s="215" customFormat="1" ht="13" customHeight="1" x14ac:dyDescent="0.3">
      <c r="B2" s="447" t="s">
        <v>628</v>
      </c>
      <c r="C2" s="447"/>
      <c r="D2" s="447"/>
      <c r="E2" s="447"/>
      <c r="F2" s="447"/>
      <c r="G2" s="447"/>
      <c r="H2" s="447"/>
      <c r="I2" s="447"/>
      <c r="J2" s="447"/>
      <c r="K2" s="447"/>
      <c r="L2" s="447"/>
      <c r="M2" s="447"/>
      <c r="N2" s="447"/>
      <c r="O2" s="447"/>
      <c r="P2" s="447"/>
      <c r="Q2" s="447"/>
    </row>
    <row r="3" spans="2:17" s="215" customFormat="1" ht="13" customHeight="1" x14ac:dyDescent="0.3">
      <c r="B3" s="537" t="s">
        <v>602</v>
      </c>
      <c r="C3" s="537"/>
      <c r="D3" s="537"/>
      <c r="E3" s="537"/>
      <c r="F3" s="537"/>
      <c r="G3" s="537"/>
      <c r="H3" s="537"/>
      <c r="I3" s="537"/>
      <c r="J3" s="537"/>
      <c r="K3" s="537"/>
      <c r="L3" s="537"/>
      <c r="M3" s="537"/>
      <c r="N3" s="537"/>
      <c r="O3" s="537"/>
      <c r="P3" s="537"/>
      <c r="Q3" s="537"/>
    </row>
    <row r="4" spans="2:17" s="215" customFormat="1" ht="13" customHeight="1" x14ac:dyDescent="0.3">
      <c r="B4" s="537" t="s">
        <v>445</v>
      </c>
      <c r="C4" s="537"/>
      <c r="D4" s="537"/>
      <c r="E4" s="537"/>
      <c r="F4" s="537"/>
      <c r="G4" s="537"/>
      <c r="H4" s="537"/>
      <c r="I4" s="537"/>
      <c r="J4" s="537"/>
      <c r="K4" s="537"/>
      <c r="L4" s="537"/>
      <c r="M4" s="537"/>
      <c r="N4" s="537"/>
      <c r="O4" s="537"/>
      <c r="P4" s="537"/>
      <c r="Q4" s="537"/>
    </row>
    <row r="5" spans="2:17" ht="14" x14ac:dyDescent="0.25">
      <c r="B5" s="537" t="s">
        <v>629</v>
      </c>
      <c r="C5" s="537"/>
      <c r="D5" s="537"/>
      <c r="E5" s="537"/>
      <c r="F5" s="537"/>
      <c r="G5" s="537"/>
      <c r="H5" s="537"/>
      <c r="I5" s="537"/>
      <c r="J5" s="537"/>
      <c r="K5" s="537"/>
      <c r="L5" s="537"/>
      <c r="M5" s="537"/>
      <c r="N5" s="537"/>
      <c r="O5" s="537"/>
      <c r="P5" s="537"/>
      <c r="Q5" s="537"/>
    </row>
    <row r="7" spans="2:17" x14ac:dyDescent="0.25">
      <c r="B7" s="225" t="s">
        <v>632</v>
      </c>
    </row>
    <row r="8" spans="2:17" x14ac:dyDescent="0.25">
      <c r="B8" s="225" t="s">
        <v>478</v>
      </c>
    </row>
    <row r="9" spans="2:17" ht="26" x14ac:dyDescent="0.25">
      <c r="B9" s="216" t="s">
        <v>432</v>
      </c>
      <c r="C9" s="216" t="s">
        <v>49</v>
      </c>
      <c r="D9" s="216" t="s">
        <v>105</v>
      </c>
      <c r="E9" s="226" t="s">
        <v>290</v>
      </c>
      <c r="F9" s="226" t="s">
        <v>291</v>
      </c>
      <c r="G9" s="109" t="s">
        <v>292</v>
      </c>
      <c r="H9" s="109" t="s">
        <v>293</v>
      </c>
      <c r="I9" s="109" t="s">
        <v>294</v>
      </c>
      <c r="J9" s="109" t="s">
        <v>295</v>
      </c>
      <c r="K9" s="109" t="s">
        <v>296</v>
      </c>
      <c r="L9" s="109" t="s">
        <v>297</v>
      </c>
      <c r="M9" s="109" t="s">
        <v>298</v>
      </c>
      <c r="N9" s="109" t="s">
        <v>299</v>
      </c>
      <c r="O9" s="109" t="s">
        <v>300</v>
      </c>
      <c r="P9" s="109" t="s">
        <v>301</v>
      </c>
      <c r="Q9" s="217" t="s">
        <v>282</v>
      </c>
    </row>
    <row r="10" spans="2:17" x14ac:dyDescent="0.25">
      <c r="B10" s="218">
        <v>1</v>
      </c>
      <c r="C10" s="219" t="s">
        <v>376</v>
      </c>
      <c r="D10" s="218" t="s">
        <v>110</v>
      </c>
      <c r="E10" s="545" t="s">
        <v>640</v>
      </c>
      <c r="F10" s="546"/>
      <c r="G10" s="546"/>
      <c r="H10" s="546"/>
      <c r="I10" s="546"/>
      <c r="J10" s="546"/>
      <c r="K10" s="546"/>
      <c r="L10" s="546"/>
      <c r="M10" s="546"/>
      <c r="N10" s="546"/>
      <c r="O10" s="546"/>
      <c r="P10" s="546"/>
      <c r="Q10" s="547"/>
    </row>
    <row r="11" spans="2:17" x14ac:dyDescent="0.25">
      <c r="B11" s="218">
        <f>B10+1</f>
        <v>2</v>
      </c>
      <c r="C11" s="219" t="s">
        <v>433</v>
      </c>
      <c r="D11" s="218" t="s">
        <v>110</v>
      </c>
      <c r="E11" s="548"/>
      <c r="F11" s="549"/>
      <c r="G11" s="549"/>
      <c r="H11" s="549"/>
      <c r="I11" s="549"/>
      <c r="J11" s="549"/>
      <c r="K11" s="549"/>
      <c r="L11" s="549"/>
      <c r="M11" s="549"/>
      <c r="N11" s="549"/>
      <c r="O11" s="549"/>
      <c r="P11" s="549"/>
      <c r="Q11" s="550"/>
    </row>
    <row r="12" spans="2:17" x14ac:dyDescent="0.25">
      <c r="B12" s="218">
        <v>2.1</v>
      </c>
      <c r="C12" s="291" t="s">
        <v>550</v>
      </c>
      <c r="D12" s="218" t="s">
        <v>110</v>
      </c>
      <c r="E12" s="548"/>
      <c r="F12" s="549"/>
      <c r="G12" s="549"/>
      <c r="H12" s="549"/>
      <c r="I12" s="549"/>
      <c r="J12" s="549"/>
      <c r="K12" s="549"/>
      <c r="L12" s="549"/>
      <c r="M12" s="549"/>
      <c r="N12" s="549"/>
      <c r="O12" s="549"/>
      <c r="P12" s="549"/>
      <c r="Q12" s="550"/>
    </row>
    <row r="13" spans="2:17" x14ac:dyDescent="0.25">
      <c r="B13" s="218"/>
      <c r="C13" s="292" t="s">
        <v>551</v>
      </c>
      <c r="D13" s="218" t="s">
        <v>110</v>
      </c>
      <c r="E13" s="548"/>
      <c r="F13" s="549"/>
      <c r="G13" s="549"/>
      <c r="H13" s="549"/>
      <c r="I13" s="549"/>
      <c r="J13" s="549"/>
      <c r="K13" s="549"/>
      <c r="L13" s="549"/>
      <c r="M13" s="549"/>
      <c r="N13" s="549"/>
      <c r="O13" s="549"/>
      <c r="P13" s="549"/>
      <c r="Q13" s="550"/>
    </row>
    <row r="14" spans="2:17" x14ac:dyDescent="0.25">
      <c r="B14" s="218"/>
      <c r="C14" s="292" t="s">
        <v>552</v>
      </c>
      <c r="D14" s="218" t="s">
        <v>110</v>
      </c>
      <c r="E14" s="548"/>
      <c r="F14" s="549"/>
      <c r="G14" s="549"/>
      <c r="H14" s="549"/>
      <c r="I14" s="549"/>
      <c r="J14" s="549"/>
      <c r="K14" s="549"/>
      <c r="L14" s="549"/>
      <c r="M14" s="549"/>
      <c r="N14" s="549"/>
      <c r="O14" s="549"/>
      <c r="P14" s="549"/>
      <c r="Q14" s="550"/>
    </row>
    <row r="15" spans="2:17" x14ac:dyDescent="0.25">
      <c r="B15" s="218">
        <v>2.2000000000000002</v>
      </c>
      <c r="C15" s="291" t="s">
        <v>553</v>
      </c>
      <c r="D15" s="218" t="s">
        <v>110</v>
      </c>
      <c r="E15" s="548"/>
      <c r="F15" s="549"/>
      <c r="G15" s="549"/>
      <c r="H15" s="549"/>
      <c r="I15" s="549"/>
      <c r="J15" s="549"/>
      <c r="K15" s="549"/>
      <c r="L15" s="549"/>
      <c r="M15" s="549"/>
      <c r="N15" s="549"/>
      <c r="O15" s="549"/>
      <c r="P15" s="549"/>
      <c r="Q15" s="550"/>
    </row>
    <row r="16" spans="2:17" x14ac:dyDescent="0.25">
      <c r="B16" s="218"/>
      <c r="C16" s="292" t="s">
        <v>551</v>
      </c>
      <c r="D16" s="218" t="s">
        <v>110</v>
      </c>
      <c r="E16" s="548"/>
      <c r="F16" s="549"/>
      <c r="G16" s="549"/>
      <c r="H16" s="549"/>
      <c r="I16" s="549"/>
      <c r="J16" s="549"/>
      <c r="K16" s="549"/>
      <c r="L16" s="549"/>
      <c r="M16" s="549"/>
      <c r="N16" s="549"/>
      <c r="O16" s="549"/>
      <c r="P16" s="549"/>
      <c r="Q16" s="550"/>
    </row>
    <row r="17" spans="2:17" x14ac:dyDescent="0.25">
      <c r="B17" s="218"/>
      <c r="C17" s="292" t="s">
        <v>552</v>
      </c>
      <c r="D17" s="218" t="s">
        <v>110</v>
      </c>
      <c r="E17" s="548"/>
      <c r="F17" s="549"/>
      <c r="G17" s="549"/>
      <c r="H17" s="549"/>
      <c r="I17" s="549"/>
      <c r="J17" s="549"/>
      <c r="K17" s="549"/>
      <c r="L17" s="549"/>
      <c r="M17" s="549"/>
      <c r="N17" s="549"/>
      <c r="O17" s="549"/>
      <c r="P17" s="549"/>
      <c r="Q17" s="550"/>
    </row>
    <row r="18" spans="2:17" x14ac:dyDescent="0.25">
      <c r="B18" s="218">
        <f>B11+1</f>
        <v>3</v>
      </c>
      <c r="C18" s="219" t="s">
        <v>434</v>
      </c>
      <c r="D18" s="218" t="s">
        <v>110</v>
      </c>
      <c r="E18" s="548"/>
      <c r="F18" s="549"/>
      <c r="G18" s="549"/>
      <c r="H18" s="549"/>
      <c r="I18" s="549"/>
      <c r="J18" s="549"/>
      <c r="K18" s="549"/>
      <c r="L18" s="549"/>
      <c r="M18" s="549"/>
      <c r="N18" s="549"/>
      <c r="O18" s="549"/>
      <c r="P18" s="549"/>
      <c r="Q18" s="550"/>
    </row>
    <row r="19" spans="2:17" x14ac:dyDescent="0.25">
      <c r="B19" s="218">
        <f t="shared" ref="B19:B35" si="0">B18+1</f>
        <v>4</v>
      </c>
      <c r="C19" s="219" t="s">
        <v>111</v>
      </c>
      <c r="D19" s="218" t="s">
        <v>110</v>
      </c>
      <c r="E19" s="548"/>
      <c r="F19" s="549"/>
      <c r="G19" s="549"/>
      <c r="H19" s="549"/>
      <c r="I19" s="549"/>
      <c r="J19" s="549"/>
      <c r="K19" s="549"/>
      <c r="L19" s="549"/>
      <c r="M19" s="549"/>
      <c r="N19" s="549"/>
      <c r="O19" s="549"/>
      <c r="P19" s="549"/>
      <c r="Q19" s="550"/>
    </row>
    <row r="20" spans="2:17" x14ac:dyDescent="0.25">
      <c r="B20" s="218">
        <f t="shared" si="0"/>
        <v>5</v>
      </c>
      <c r="C20" s="219" t="s">
        <v>435</v>
      </c>
      <c r="D20" s="218" t="s">
        <v>110</v>
      </c>
      <c r="E20" s="548"/>
      <c r="F20" s="549"/>
      <c r="G20" s="549"/>
      <c r="H20" s="549"/>
      <c r="I20" s="549"/>
      <c r="J20" s="549"/>
      <c r="K20" s="549"/>
      <c r="L20" s="549"/>
      <c r="M20" s="549"/>
      <c r="N20" s="549"/>
      <c r="O20" s="549"/>
      <c r="P20" s="549"/>
      <c r="Q20" s="550"/>
    </row>
    <row r="21" spans="2:17" x14ac:dyDescent="0.25">
      <c r="B21" s="218">
        <v>6</v>
      </c>
      <c r="C21" s="219" t="s">
        <v>621</v>
      </c>
      <c r="D21" s="218" t="s">
        <v>110</v>
      </c>
      <c r="E21" s="548"/>
      <c r="F21" s="549"/>
      <c r="G21" s="549"/>
      <c r="H21" s="549"/>
      <c r="I21" s="549"/>
      <c r="J21" s="549"/>
      <c r="K21" s="549"/>
      <c r="L21" s="549"/>
      <c r="M21" s="549"/>
      <c r="N21" s="549"/>
      <c r="O21" s="549"/>
      <c r="P21" s="549"/>
      <c r="Q21" s="550"/>
    </row>
    <row r="22" spans="2:17" x14ac:dyDescent="0.25">
      <c r="B22" s="218">
        <v>7</v>
      </c>
      <c r="C22" s="219" t="s">
        <v>436</v>
      </c>
      <c r="D22" s="218" t="s">
        <v>110</v>
      </c>
      <c r="E22" s="548"/>
      <c r="F22" s="549"/>
      <c r="G22" s="549"/>
      <c r="H22" s="549"/>
      <c r="I22" s="549"/>
      <c r="J22" s="549"/>
      <c r="K22" s="549"/>
      <c r="L22" s="549"/>
      <c r="M22" s="549"/>
      <c r="N22" s="549"/>
      <c r="O22" s="549"/>
      <c r="P22" s="549"/>
      <c r="Q22" s="550"/>
    </row>
    <row r="23" spans="2:17" x14ac:dyDescent="0.25">
      <c r="B23" s="218">
        <f t="shared" si="0"/>
        <v>8</v>
      </c>
      <c r="C23" s="220" t="s">
        <v>437</v>
      </c>
      <c r="D23" s="223" t="s">
        <v>112</v>
      </c>
      <c r="E23" s="548"/>
      <c r="F23" s="549"/>
      <c r="G23" s="549"/>
      <c r="H23" s="549"/>
      <c r="I23" s="549"/>
      <c r="J23" s="549"/>
      <c r="K23" s="549"/>
      <c r="L23" s="549"/>
      <c r="M23" s="549"/>
      <c r="N23" s="549"/>
      <c r="O23" s="549"/>
      <c r="P23" s="549"/>
      <c r="Q23" s="550"/>
    </row>
    <row r="24" spans="2:17" x14ac:dyDescent="0.25">
      <c r="B24" s="218">
        <f t="shared" si="0"/>
        <v>9</v>
      </c>
      <c r="C24" s="220" t="s">
        <v>438</v>
      </c>
      <c r="D24" s="223" t="s">
        <v>112</v>
      </c>
      <c r="E24" s="548"/>
      <c r="F24" s="549"/>
      <c r="G24" s="549"/>
      <c r="H24" s="549"/>
      <c r="I24" s="549"/>
      <c r="J24" s="549"/>
      <c r="K24" s="549"/>
      <c r="L24" s="549"/>
      <c r="M24" s="549"/>
      <c r="N24" s="549"/>
      <c r="O24" s="549"/>
      <c r="P24" s="549"/>
      <c r="Q24" s="550"/>
    </row>
    <row r="25" spans="2:17" x14ac:dyDescent="0.25">
      <c r="B25" s="218">
        <f t="shared" si="0"/>
        <v>10</v>
      </c>
      <c r="C25" s="220" t="s">
        <v>470</v>
      </c>
      <c r="D25" s="223" t="s">
        <v>112</v>
      </c>
      <c r="E25" s="548"/>
      <c r="F25" s="549"/>
      <c r="G25" s="549"/>
      <c r="H25" s="549"/>
      <c r="I25" s="549"/>
      <c r="J25" s="549"/>
      <c r="K25" s="549"/>
      <c r="L25" s="549"/>
      <c r="M25" s="549"/>
      <c r="N25" s="549"/>
      <c r="O25" s="549"/>
      <c r="P25" s="549"/>
      <c r="Q25" s="550"/>
    </row>
    <row r="26" spans="2:17" x14ac:dyDescent="0.25">
      <c r="B26" s="218">
        <f t="shared" si="0"/>
        <v>11</v>
      </c>
      <c r="C26" s="232" t="s">
        <v>479</v>
      </c>
      <c r="D26" s="223" t="s">
        <v>112</v>
      </c>
      <c r="E26" s="548"/>
      <c r="F26" s="549"/>
      <c r="G26" s="549"/>
      <c r="H26" s="549"/>
      <c r="I26" s="549"/>
      <c r="J26" s="549"/>
      <c r="K26" s="549"/>
      <c r="L26" s="549"/>
      <c r="M26" s="549"/>
      <c r="N26" s="549"/>
      <c r="O26" s="549"/>
      <c r="P26" s="549"/>
      <c r="Q26" s="550"/>
    </row>
    <row r="27" spans="2:17" x14ac:dyDescent="0.25">
      <c r="B27" s="218">
        <f t="shared" si="0"/>
        <v>12</v>
      </c>
      <c r="C27" s="220" t="s">
        <v>439</v>
      </c>
      <c r="D27" s="223" t="s">
        <v>448</v>
      </c>
      <c r="E27" s="548"/>
      <c r="F27" s="549"/>
      <c r="G27" s="549"/>
      <c r="H27" s="549"/>
      <c r="I27" s="549"/>
      <c r="J27" s="549"/>
      <c r="K27" s="549"/>
      <c r="L27" s="549"/>
      <c r="M27" s="549"/>
      <c r="N27" s="549"/>
      <c r="O27" s="549"/>
      <c r="P27" s="549"/>
      <c r="Q27" s="550"/>
    </row>
    <row r="28" spans="2:17" x14ac:dyDescent="0.25">
      <c r="B28" s="218">
        <f t="shared" si="0"/>
        <v>13</v>
      </c>
      <c r="C28" s="232" t="s">
        <v>480</v>
      </c>
      <c r="D28" s="223" t="s">
        <v>449</v>
      </c>
      <c r="E28" s="548"/>
      <c r="F28" s="549"/>
      <c r="G28" s="549"/>
      <c r="H28" s="549"/>
      <c r="I28" s="549"/>
      <c r="J28" s="549"/>
      <c r="K28" s="549"/>
      <c r="L28" s="549"/>
      <c r="M28" s="549"/>
      <c r="N28" s="549"/>
      <c r="O28" s="549"/>
      <c r="P28" s="549"/>
      <c r="Q28" s="550"/>
    </row>
    <row r="29" spans="2:17" x14ac:dyDescent="0.25">
      <c r="B29" s="218">
        <f t="shared" si="0"/>
        <v>14</v>
      </c>
      <c r="C29" s="232" t="s">
        <v>481</v>
      </c>
      <c r="D29" s="223" t="s">
        <v>448</v>
      </c>
      <c r="E29" s="548"/>
      <c r="F29" s="549"/>
      <c r="G29" s="549"/>
      <c r="H29" s="549"/>
      <c r="I29" s="549"/>
      <c r="J29" s="549"/>
      <c r="K29" s="549"/>
      <c r="L29" s="549"/>
      <c r="M29" s="549"/>
      <c r="N29" s="549"/>
      <c r="O29" s="549"/>
      <c r="P29" s="549"/>
      <c r="Q29" s="550"/>
    </row>
    <row r="30" spans="2:17" x14ac:dyDescent="0.25">
      <c r="B30" s="218">
        <f t="shared" si="0"/>
        <v>15</v>
      </c>
      <c r="C30" s="220" t="s">
        <v>440</v>
      </c>
      <c r="D30" s="223" t="s">
        <v>449</v>
      </c>
      <c r="E30" s="548"/>
      <c r="F30" s="549"/>
      <c r="G30" s="549"/>
      <c r="H30" s="549"/>
      <c r="I30" s="549"/>
      <c r="J30" s="549"/>
      <c r="K30" s="549"/>
      <c r="L30" s="549"/>
      <c r="M30" s="549"/>
      <c r="N30" s="549"/>
      <c r="O30" s="549"/>
      <c r="P30" s="549"/>
      <c r="Q30" s="550"/>
    </row>
    <row r="31" spans="2:17" x14ac:dyDescent="0.25">
      <c r="B31" s="218">
        <f t="shared" si="0"/>
        <v>16</v>
      </c>
      <c r="C31" s="220" t="s">
        <v>441</v>
      </c>
      <c r="D31" s="223" t="s">
        <v>449</v>
      </c>
      <c r="E31" s="548"/>
      <c r="F31" s="549"/>
      <c r="G31" s="549"/>
      <c r="H31" s="549"/>
      <c r="I31" s="549"/>
      <c r="J31" s="549"/>
      <c r="K31" s="549"/>
      <c r="L31" s="549"/>
      <c r="M31" s="549"/>
      <c r="N31" s="549"/>
      <c r="O31" s="549"/>
      <c r="P31" s="549"/>
      <c r="Q31" s="550"/>
    </row>
    <row r="32" spans="2:17" x14ac:dyDescent="0.25">
      <c r="B32" s="218">
        <f t="shared" si="0"/>
        <v>17</v>
      </c>
      <c r="C32" s="232" t="s">
        <v>482</v>
      </c>
      <c r="D32" s="223" t="s">
        <v>449</v>
      </c>
      <c r="E32" s="548"/>
      <c r="F32" s="549"/>
      <c r="G32" s="549"/>
      <c r="H32" s="549"/>
      <c r="I32" s="549"/>
      <c r="J32" s="549"/>
      <c r="K32" s="549"/>
      <c r="L32" s="549"/>
      <c r="M32" s="549"/>
      <c r="N32" s="549"/>
      <c r="O32" s="549"/>
      <c r="P32" s="549"/>
      <c r="Q32" s="550"/>
    </row>
    <row r="33" spans="2:17" x14ac:dyDescent="0.25">
      <c r="B33" s="218">
        <f t="shared" si="0"/>
        <v>18</v>
      </c>
      <c r="C33" s="220" t="s">
        <v>442</v>
      </c>
      <c r="D33" s="223" t="s">
        <v>449</v>
      </c>
      <c r="E33" s="548"/>
      <c r="F33" s="549"/>
      <c r="G33" s="549"/>
      <c r="H33" s="549"/>
      <c r="I33" s="549"/>
      <c r="J33" s="549"/>
      <c r="K33" s="549"/>
      <c r="L33" s="549"/>
      <c r="M33" s="549"/>
      <c r="N33" s="549"/>
      <c r="O33" s="549"/>
      <c r="P33" s="549"/>
      <c r="Q33" s="550"/>
    </row>
    <row r="34" spans="2:17" x14ac:dyDescent="0.25">
      <c r="B34" s="218">
        <f t="shared" si="0"/>
        <v>19</v>
      </c>
      <c r="C34" s="221" t="s">
        <v>443</v>
      </c>
      <c r="D34" s="223" t="s">
        <v>449</v>
      </c>
      <c r="E34" s="548"/>
      <c r="F34" s="549"/>
      <c r="G34" s="549"/>
      <c r="H34" s="549"/>
      <c r="I34" s="549"/>
      <c r="J34" s="549"/>
      <c r="K34" s="549"/>
      <c r="L34" s="549"/>
      <c r="M34" s="549"/>
      <c r="N34" s="549"/>
      <c r="O34" s="549"/>
      <c r="P34" s="549"/>
      <c r="Q34" s="550"/>
    </row>
    <row r="35" spans="2:17" x14ac:dyDescent="0.25">
      <c r="B35" s="218">
        <f t="shared" si="0"/>
        <v>20</v>
      </c>
      <c r="C35" s="222" t="s">
        <v>444</v>
      </c>
      <c r="D35" s="223"/>
      <c r="E35" s="548"/>
      <c r="F35" s="549"/>
      <c r="G35" s="549"/>
      <c r="H35" s="549"/>
      <c r="I35" s="549"/>
      <c r="J35" s="549"/>
      <c r="K35" s="549"/>
      <c r="L35" s="549"/>
      <c r="M35" s="549"/>
      <c r="N35" s="549"/>
      <c r="O35" s="549"/>
      <c r="P35" s="549"/>
      <c r="Q35" s="550"/>
    </row>
    <row r="36" spans="2:17" x14ac:dyDescent="0.25">
      <c r="B36" s="218"/>
      <c r="C36" s="220" t="s">
        <v>427</v>
      </c>
      <c r="D36" s="223" t="s">
        <v>449</v>
      </c>
      <c r="E36" s="548"/>
      <c r="F36" s="549"/>
      <c r="G36" s="549"/>
      <c r="H36" s="549"/>
      <c r="I36" s="549"/>
      <c r="J36" s="549"/>
      <c r="K36" s="549"/>
      <c r="L36" s="549"/>
      <c r="M36" s="549"/>
      <c r="N36" s="549"/>
      <c r="O36" s="549"/>
      <c r="P36" s="549"/>
      <c r="Q36" s="550"/>
    </row>
    <row r="37" spans="2:17" x14ac:dyDescent="0.25">
      <c r="B37" s="223">
        <f>B35+1</f>
        <v>21</v>
      </c>
      <c r="C37" s="224" t="s">
        <v>362</v>
      </c>
      <c r="D37" s="223" t="s">
        <v>449</v>
      </c>
      <c r="E37" s="548"/>
      <c r="F37" s="549"/>
      <c r="G37" s="549"/>
      <c r="H37" s="549"/>
      <c r="I37" s="549"/>
      <c r="J37" s="549"/>
      <c r="K37" s="549"/>
      <c r="L37" s="549"/>
      <c r="M37" s="549"/>
      <c r="N37" s="549"/>
      <c r="O37" s="549"/>
      <c r="P37" s="549"/>
      <c r="Q37" s="550"/>
    </row>
    <row r="38" spans="2:17" x14ac:dyDescent="0.25">
      <c r="B38" s="223">
        <f>B37+1</f>
        <v>22</v>
      </c>
      <c r="C38" s="224" t="s">
        <v>450</v>
      </c>
      <c r="D38" s="223" t="s">
        <v>449</v>
      </c>
      <c r="E38" s="551"/>
      <c r="F38" s="552"/>
      <c r="G38" s="552"/>
      <c r="H38" s="552"/>
      <c r="I38" s="552"/>
      <c r="J38" s="552"/>
      <c r="K38" s="552"/>
      <c r="L38" s="552"/>
      <c r="M38" s="552"/>
      <c r="N38" s="552"/>
      <c r="O38" s="552"/>
      <c r="P38" s="552"/>
      <c r="Q38" s="553"/>
    </row>
    <row r="40" spans="2:17" x14ac:dyDescent="0.25">
      <c r="B40" s="225" t="s">
        <v>657</v>
      </c>
    </row>
    <row r="41" spans="2:17" x14ac:dyDescent="0.25">
      <c r="B41" s="225" t="s">
        <v>478</v>
      </c>
    </row>
    <row r="42" spans="2:17" ht="26" x14ac:dyDescent="0.25">
      <c r="B42" s="216" t="s">
        <v>432</v>
      </c>
      <c r="C42" s="216" t="s">
        <v>49</v>
      </c>
      <c r="D42" s="216" t="s">
        <v>105</v>
      </c>
      <c r="E42" s="287" t="s">
        <v>290</v>
      </c>
      <c r="F42" s="287" t="s">
        <v>291</v>
      </c>
      <c r="G42" s="109" t="s">
        <v>292</v>
      </c>
      <c r="H42" s="109" t="s">
        <v>293</v>
      </c>
      <c r="I42" s="109" t="s">
        <v>294</v>
      </c>
      <c r="J42" s="109" t="s">
        <v>295</v>
      </c>
      <c r="K42" s="109" t="s">
        <v>296</v>
      </c>
      <c r="L42" s="109" t="s">
        <v>297</v>
      </c>
      <c r="M42" s="109" t="s">
        <v>298</v>
      </c>
      <c r="N42" s="109" t="s">
        <v>299</v>
      </c>
      <c r="O42" s="109" t="s">
        <v>300</v>
      </c>
      <c r="P42" s="109" t="s">
        <v>301</v>
      </c>
      <c r="Q42" s="217" t="s">
        <v>282</v>
      </c>
    </row>
    <row r="43" spans="2:17" x14ac:dyDescent="0.25">
      <c r="B43" s="218">
        <v>1</v>
      </c>
      <c r="C43" s="219" t="s">
        <v>376</v>
      </c>
      <c r="D43" s="218" t="s">
        <v>110</v>
      </c>
      <c r="E43" s="545" t="s">
        <v>640</v>
      </c>
      <c r="F43" s="546"/>
      <c r="G43" s="546"/>
      <c r="H43" s="546"/>
      <c r="I43" s="546"/>
      <c r="J43" s="546"/>
      <c r="K43" s="546"/>
      <c r="L43" s="546"/>
      <c r="M43" s="546"/>
      <c r="N43" s="546"/>
      <c r="O43" s="546"/>
      <c r="P43" s="546"/>
      <c r="Q43" s="547"/>
    </row>
    <row r="44" spans="2:17" x14ac:dyDescent="0.25">
      <c r="B44" s="218">
        <f>B43+1</f>
        <v>2</v>
      </c>
      <c r="C44" s="219" t="s">
        <v>433</v>
      </c>
      <c r="D44" s="218" t="s">
        <v>110</v>
      </c>
      <c r="E44" s="548"/>
      <c r="F44" s="549"/>
      <c r="G44" s="549"/>
      <c r="H44" s="549"/>
      <c r="I44" s="549"/>
      <c r="J44" s="549"/>
      <c r="K44" s="549"/>
      <c r="L44" s="549"/>
      <c r="M44" s="549"/>
      <c r="N44" s="549"/>
      <c r="O44" s="549"/>
      <c r="P44" s="549"/>
      <c r="Q44" s="550"/>
    </row>
    <row r="45" spans="2:17" x14ac:dyDescent="0.25">
      <c r="B45" s="218">
        <v>2.1</v>
      </c>
      <c r="C45" s="291" t="s">
        <v>550</v>
      </c>
      <c r="D45" s="218" t="s">
        <v>110</v>
      </c>
      <c r="E45" s="548"/>
      <c r="F45" s="549"/>
      <c r="G45" s="549"/>
      <c r="H45" s="549"/>
      <c r="I45" s="549"/>
      <c r="J45" s="549"/>
      <c r="K45" s="549"/>
      <c r="L45" s="549"/>
      <c r="M45" s="549"/>
      <c r="N45" s="549"/>
      <c r="O45" s="549"/>
      <c r="P45" s="549"/>
      <c r="Q45" s="550"/>
    </row>
    <row r="46" spans="2:17" x14ac:dyDescent="0.25">
      <c r="B46" s="218"/>
      <c r="C46" s="292" t="s">
        <v>551</v>
      </c>
      <c r="D46" s="218" t="s">
        <v>110</v>
      </c>
      <c r="E46" s="548"/>
      <c r="F46" s="549"/>
      <c r="G46" s="549"/>
      <c r="H46" s="549"/>
      <c r="I46" s="549"/>
      <c r="J46" s="549"/>
      <c r="K46" s="549"/>
      <c r="L46" s="549"/>
      <c r="M46" s="549"/>
      <c r="N46" s="549"/>
      <c r="O46" s="549"/>
      <c r="P46" s="549"/>
      <c r="Q46" s="550"/>
    </row>
    <row r="47" spans="2:17" x14ac:dyDescent="0.25">
      <c r="B47" s="218"/>
      <c r="C47" s="292" t="s">
        <v>552</v>
      </c>
      <c r="D47" s="218" t="s">
        <v>110</v>
      </c>
      <c r="E47" s="548"/>
      <c r="F47" s="549"/>
      <c r="G47" s="549"/>
      <c r="H47" s="549"/>
      <c r="I47" s="549"/>
      <c r="J47" s="549"/>
      <c r="K47" s="549"/>
      <c r="L47" s="549"/>
      <c r="M47" s="549"/>
      <c r="N47" s="549"/>
      <c r="O47" s="549"/>
      <c r="P47" s="549"/>
      <c r="Q47" s="550"/>
    </row>
    <row r="48" spans="2:17" x14ac:dyDescent="0.25">
      <c r="B48" s="218">
        <v>2.2000000000000002</v>
      </c>
      <c r="C48" s="291" t="s">
        <v>553</v>
      </c>
      <c r="D48" s="218" t="s">
        <v>110</v>
      </c>
      <c r="E48" s="548"/>
      <c r="F48" s="549"/>
      <c r="G48" s="549"/>
      <c r="H48" s="549"/>
      <c r="I48" s="549"/>
      <c r="J48" s="549"/>
      <c r="K48" s="549"/>
      <c r="L48" s="549"/>
      <c r="M48" s="549"/>
      <c r="N48" s="549"/>
      <c r="O48" s="549"/>
      <c r="P48" s="549"/>
      <c r="Q48" s="550"/>
    </row>
    <row r="49" spans="2:17" x14ac:dyDescent="0.25">
      <c r="B49" s="218"/>
      <c r="C49" s="292" t="s">
        <v>551</v>
      </c>
      <c r="D49" s="218" t="s">
        <v>110</v>
      </c>
      <c r="E49" s="548"/>
      <c r="F49" s="549"/>
      <c r="G49" s="549"/>
      <c r="H49" s="549"/>
      <c r="I49" s="549"/>
      <c r="J49" s="549"/>
      <c r="K49" s="549"/>
      <c r="L49" s="549"/>
      <c r="M49" s="549"/>
      <c r="N49" s="549"/>
      <c r="O49" s="549"/>
      <c r="P49" s="549"/>
      <c r="Q49" s="550"/>
    </row>
    <row r="50" spans="2:17" x14ac:dyDescent="0.25">
      <c r="B50" s="218"/>
      <c r="C50" s="292" t="s">
        <v>552</v>
      </c>
      <c r="D50" s="218" t="s">
        <v>110</v>
      </c>
      <c r="E50" s="548"/>
      <c r="F50" s="549"/>
      <c r="G50" s="549"/>
      <c r="H50" s="549"/>
      <c r="I50" s="549"/>
      <c r="J50" s="549"/>
      <c r="K50" s="549"/>
      <c r="L50" s="549"/>
      <c r="M50" s="549"/>
      <c r="N50" s="549"/>
      <c r="O50" s="549"/>
      <c r="P50" s="549"/>
      <c r="Q50" s="550"/>
    </row>
    <row r="51" spans="2:17" x14ac:dyDescent="0.25">
      <c r="B51" s="218">
        <f>B44+1</f>
        <v>3</v>
      </c>
      <c r="C51" s="219" t="s">
        <v>434</v>
      </c>
      <c r="D51" s="218" t="s">
        <v>110</v>
      </c>
      <c r="E51" s="548"/>
      <c r="F51" s="549"/>
      <c r="G51" s="549"/>
      <c r="H51" s="549"/>
      <c r="I51" s="549"/>
      <c r="J51" s="549"/>
      <c r="K51" s="549"/>
      <c r="L51" s="549"/>
      <c r="M51" s="549"/>
      <c r="N51" s="549"/>
      <c r="O51" s="549"/>
      <c r="P51" s="549"/>
      <c r="Q51" s="550"/>
    </row>
    <row r="52" spans="2:17" x14ac:dyDescent="0.25">
      <c r="B52" s="218">
        <f t="shared" ref="B52:B68" si="1">B51+1</f>
        <v>4</v>
      </c>
      <c r="C52" s="219" t="s">
        <v>111</v>
      </c>
      <c r="D52" s="218" t="s">
        <v>110</v>
      </c>
      <c r="E52" s="548"/>
      <c r="F52" s="549"/>
      <c r="G52" s="549"/>
      <c r="H52" s="549"/>
      <c r="I52" s="549"/>
      <c r="J52" s="549"/>
      <c r="K52" s="549"/>
      <c r="L52" s="549"/>
      <c r="M52" s="549"/>
      <c r="N52" s="549"/>
      <c r="O52" s="549"/>
      <c r="P52" s="549"/>
      <c r="Q52" s="550"/>
    </row>
    <row r="53" spans="2:17" x14ac:dyDescent="0.25">
      <c r="B53" s="218">
        <f t="shared" si="1"/>
        <v>5</v>
      </c>
      <c r="C53" s="219" t="s">
        <v>435</v>
      </c>
      <c r="D53" s="218" t="s">
        <v>110</v>
      </c>
      <c r="E53" s="548"/>
      <c r="F53" s="549"/>
      <c r="G53" s="549"/>
      <c r="H53" s="549"/>
      <c r="I53" s="549"/>
      <c r="J53" s="549"/>
      <c r="K53" s="549"/>
      <c r="L53" s="549"/>
      <c r="M53" s="549"/>
      <c r="N53" s="549"/>
      <c r="O53" s="549"/>
      <c r="P53" s="549"/>
      <c r="Q53" s="550"/>
    </row>
    <row r="54" spans="2:17" x14ac:dyDescent="0.25">
      <c r="B54" s="218">
        <v>6</v>
      </c>
      <c r="C54" s="219" t="s">
        <v>622</v>
      </c>
      <c r="D54" s="218" t="s">
        <v>110</v>
      </c>
      <c r="E54" s="548"/>
      <c r="F54" s="549"/>
      <c r="G54" s="549"/>
      <c r="H54" s="549"/>
      <c r="I54" s="549"/>
      <c r="J54" s="549"/>
      <c r="K54" s="549"/>
      <c r="L54" s="549"/>
      <c r="M54" s="549"/>
      <c r="N54" s="549"/>
      <c r="O54" s="549"/>
      <c r="P54" s="549"/>
      <c r="Q54" s="550"/>
    </row>
    <row r="55" spans="2:17" x14ac:dyDescent="0.25">
      <c r="B55" s="218">
        <v>7</v>
      </c>
      <c r="C55" s="219" t="s">
        <v>436</v>
      </c>
      <c r="D55" s="218" t="s">
        <v>110</v>
      </c>
      <c r="E55" s="548"/>
      <c r="F55" s="549"/>
      <c r="G55" s="549"/>
      <c r="H55" s="549"/>
      <c r="I55" s="549"/>
      <c r="J55" s="549"/>
      <c r="K55" s="549"/>
      <c r="L55" s="549"/>
      <c r="M55" s="549"/>
      <c r="N55" s="549"/>
      <c r="O55" s="549"/>
      <c r="P55" s="549"/>
      <c r="Q55" s="550"/>
    </row>
    <row r="56" spans="2:17" x14ac:dyDescent="0.25">
      <c r="B56" s="218">
        <f t="shared" si="1"/>
        <v>8</v>
      </c>
      <c r="C56" s="220" t="s">
        <v>437</v>
      </c>
      <c r="D56" s="223" t="s">
        <v>112</v>
      </c>
      <c r="E56" s="548"/>
      <c r="F56" s="549"/>
      <c r="G56" s="549"/>
      <c r="H56" s="549"/>
      <c r="I56" s="549"/>
      <c r="J56" s="549"/>
      <c r="K56" s="549"/>
      <c r="L56" s="549"/>
      <c r="M56" s="549"/>
      <c r="N56" s="549"/>
      <c r="O56" s="549"/>
      <c r="P56" s="549"/>
      <c r="Q56" s="550"/>
    </row>
    <row r="57" spans="2:17" x14ac:dyDescent="0.25">
      <c r="B57" s="218">
        <f t="shared" si="1"/>
        <v>9</v>
      </c>
      <c r="C57" s="220" t="s">
        <v>438</v>
      </c>
      <c r="D57" s="223" t="s">
        <v>112</v>
      </c>
      <c r="E57" s="548"/>
      <c r="F57" s="549"/>
      <c r="G57" s="549"/>
      <c r="H57" s="549"/>
      <c r="I57" s="549"/>
      <c r="J57" s="549"/>
      <c r="K57" s="549"/>
      <c r="L57" s="549"/>
      <c r="M57" s="549"/>
      <c r="N57" s="549"/>
      <c r="O57" s="549"/>
      <c r="P57" s="549"/>
      <c r="Q57" s="550"/>
    </row>
    <row r="58" spans="2:17" x14ac:dyDescent="0.25">
      <c r="B58" s="218">
        <f t="shared" si="1"/>
        <v>10</v>
      </c>
      <c r="C58" s="220" t="s">
        <v>470</v>
      </c>
      <c r="D58" s="223" t="s">
        <v>112</v>
      </c>
      <c r="E58" s="548"/>
      <c r="F58" s="549"/>
      <c r="G58" s="549"/>
      <c r="H58" s="549"/>
      <c r="I58" s="549"/>
      <c r="J58" s="549"/>
      <c r="K58" s="549"/>
      <c r="L58" s="549"/>
      <c r="M58" s="549"/>
      <c r="N58" s="549"/>
      <c r="O58" s="549"/>
      <c r="P58" s="549"/>
      <c r="Q58" s="550"/>
    </row>
    <row r="59" spans="2:17" x14ac:dyDescent="0.25">
      <c r="B59" s="218">
        <f t="shared" si="1"/>
        <v>11</v>
      </c>
      <c r="C59" s="232" t="s">
        <v>479</v>
      </c>
      <c r="D59" s="223" t="s">
        <v>112</v>
      </c>
      <c r="E59" s="548"/>
      <c r="F59" s="549"/>
      <c r="G59" s="549"/>
      <c r="H59" s="549"/>
      <c r="I59" s="549"/>
      <c r="J59" s="549"/>
      <c r="K59" s="549"/>
      <c r="L59" s="549"/>
      <c r="M59" s="549"/>
      <c r="N59" s="549"/>
      <c r="O59" s="549"/>
      <c r="P59" s="549"/>
      <c r="Q59" s="550"/>
    </row>
    <row r="60" spans="2:17" x14ac:dyDescent="0.25">
      <c r="B60" s="218">
        <f t="shared" si="1"/>
        <v>12</v>
      </c>
      <c r="C60" s="220" t="s">
        <v>439</v>
      </c>
      <c r="D60" s="223" t="s">
        <v>448</v>
      </c>
      <c r="E60" s="548"/>
      <c r="F60" s="549"/>
      <c r="G60" s="549"/>
      <c r="H60" s="549"/>
      <c r="I60" s="549"/>
      <c r="J60" s="549"/>
      <c r="K60" s="549"/>
      <c r="L60" s="549"/>
      <c r="M60" s="549"/>
      <c r="N60" s="549"/>
      <c r="O60" s="549"/>
      <c r="P60" s="549"/>
      <c r="Q60" s="550"/>
    </row>
    <row r="61" spans="2:17" x14ac:dyDescent="0.25">
      <c r="B61" s="218">
        <f t="shared" si="1"/>
        <v>13</v>
      </c>
      <c r="C61" s="232" t="s">
        <v>480</v>
      </c>
      <c r="D61" s="223" t="s">
        <v>449</v>
      </c>
      <c r="E61" s="548"/>
      <c r="F61" s="549"/>
      <c r="G61" s="549"/>
      <c r="H61" s="549"/>
      <c r="I61" s="549"/>
      <c r="J61" s="549"/>
      <c r="K61" s="549"/>
      <c r="L61" s="549"/>
      <c r="M61" s="549"/>
      <c r="N61" s="549"/>
      <c r="O61" s="549"/>
      <c r="P61" s="549"/>
      <c r="Q61" s="550"/>
    </row>
    <row r="62" spans="2:17" x14ac:dyDescent="0.25">
      <c r="B62" s="218">
        <f t="shared" si="1"/>
        <v>14</v>
      </c>
      <c r="C62" s="232" t="s">
        <v>481</v>
      </c>
      <c r="D62" s="223" t="s">
        <v>448</v>
      </c>
      <c r="E62" s="548"/>
      <c r="F62" s="549"/>
      <c r="G62" s="549"/>
      <c r="H62" s="549"/>
      <c r="I62" s="549"/>
      <c r="J62" s="549"/>
      <c r="K62" s="549"/>
      <c r="L62" s="549"/>
      <c r="M62" s="549"/>
      <c r="N62" s="549"/>
      <c r="O62" s="549"/>
      <c r="P62" s="549"/>
      <c r="Q62" s="550"/>
    </row>
    <row r="63" spans="2:17" x14ac:dyDescent="0.25">
      <c r="B63" s="218">
        <f t="shared" si="1"/>
        <v>15</v>
      </c>
      <c r="C63" s="220" t="s">
        <v>440</v>
      </c>
      <c r="D63" s="223" t="s">
        <v>449</v>
      </c>
      <c r="E63" s="548"/>
      <c r="F63" s="549"/>
      <c r="G63" s="549"/>
      <c r="H63" s="549"/>
      <c r="I63" s="549"/>
      <c r="J63" s="549"/>
      <c r="K63" s="549"/>
      <c r="L63" s="549"/>
      <c r="M63" s="549"/>
      <c r="N63" s="549"/>
      <c r="O63" s="549"/>
      <c r="P63" s="549"/>
      <c r="Q63" s="550"/>
    </row>
    <row r="64" spans="2:17" x14ac:dyDescent="0.25">
      <c r="B64" s="218">
        <f t="shared" si="1"/>
        <v>16</v>
      </c>
      <c r="C64" s="220" t="s">
        <v>441</v>
      </c>
      <c r="D64" s="223" t="s">
        <v>449</v>
      </c>
      <c r="E64" s="548"/>
      <c r="F64" s="549"/>
      <c r="G64" s="549"/>
      <c r="H64" s="549"/>
      <c r="I64" s="549"/>
      <c r="J64" s="549"/>
      <c r="K64" s="549"/>
      <c r="L64" s="549"/>
      <c r="M64" s="549"/>
      <c r="N64" s="549"/>
      <c r="O64" s="549"/>
      <c r="P64" s="549"/>
      <c r="Q64" s="550"/>
    </row>
    <row r="65" spans="2:17" x14ac:dyDescent="0.25">
      <c r="B65" s="218">
        <f t="shared" si="1"/>
        <v>17</v>
      </c>
      <c r="C65" s="232" t="s">
        <v>482</v>
      </c>
      <c r="D65" s="223" t="s">
        <v>449</v>
      </c>
      <c r="E65" s="548"/>
      <c r="F65" s="549"/>
      <c r="G65" s="549"/>
      <c r="H65" s="549"/>
      <c r="I65" s="549"/>
      <c r="J65" s="549"/>
      <c r="K65" s="549"/>
      <c r="L65" s="549"/>
      <c r="M65" s="549"/>
      <c r="N65" s="549"/>
      <c r="O65" s="549"/>
      <c r="P65" s="549"/>
      <c r="Q65" s="550"/>
    </row>
    <row r="66" spans="2:17" x14ac:dyDescent="0.25">
      <c r="B66" s="218">
        <f t="shared" si="1"/>
        <v>18</v>
      </c>
      <c r="C66" s="220" t="s">
        <v>442</v>
      </c>
      <c r="D66" s="223" t="s">
        <v>449</v>
      </c>
      <c r="E66" s="548"/>
      <c r="F66" s="549"/>
      <c r="G66" s="549"/>
      <c r="H66" s="549"/>
      <c r="I66" s="549"/>
      <c r="J66" s="549"/>
      <c r="K66" s="549"/>
      <c r="L66" s="549"/>
      <c r="M66" s="549"/>
      <c r="N66" s="549"/>
      <c r="O66" s="549"/>
      <c r="P66" s="549"/>
      <c r="Q66" s="550"/>
    </row>
    <row r="67" spans="2:17" x14ac:dyDescent="0.25">
      <c r="B67" s="218">
        <f t="shared" si="1"/>
        <v>19</v>
      </c>
      <c r="C67" s="221" t="s">
        <v>443</v>
      </c>
      <c r="D67" s="223" t="s">
        <v>449</v>
      </c>
      <c r="E67" s="548"/>
      <c r="F67" s="549"/>
      <c r="G67" s="549"/>
      <c r="H67" s="549"/>
      <c r="I67" s="549"/>
      <c r="J67" s="549"/>
      <c r="K67" s="549"/>
      <c r="L67" s="549"/>
      <c r="M67" s="549"/>
      <c r="N67" s="549"/>
      <c r="O67" s="549"/>
      <c r="P67" s="549"/>
      <c r="Q67" s="550"/>
    </row>
    <row r="68" spans="2:17" x14ac:dyDescent="0.25">
      <c r="B68" s="218">
        <f t="shared" si="1"/>
        <v>20</v>
      </c>
      <c r="C68" s="222" t="s">
        <v>444</v>
      </c>
      <c r="D68" s="223"/>
      <c r="E68" s="548"/>
      <c r="F68" s="549"/>
      <c r="G68" s="549"/>
      <c r="H68" s="549"/>
      <c r="I68" s="549"/>
      <c r="J68" s="549"/>
      <c r="K68" s="549"/>
      <c r="L68" s="549"/>
      <c r="M68" s="549"/>
      <c r="N68" s="549"/>
      <c r="O68" s="549"/>
      <c r="P68" s="549"/>
      <c r="Q68" s="550"/>
    </row>
    <row r="69" spans="2:17" x14ac:dyDescent="0.25">
      <c r="B69" s="218"/>
      <c r="C69" s="220" t="s">
        <v>427</v>
      </c>
      <c r="D69" s="223" t="s">
        <v>449</v>
      </c>
      <c r="E69" s="548"/>
      <c r="F69" s="549"/>
      <c r="G69" s="549"/>
      <c r="H69" s="549"/>
      <c r="I69" s="549"/>
      <c r="J69" s="549"/>
      <c r="K69" s="549"/>
      <c r="L69" s="549"/>
      <c r="M69" s="549"/>
      <c r="N69" s="549"/>
      <c r="O69" s="549"/>
      <c r="P69" s="549"/>
      <c r="Q69" s="550"/>
    </row>
    <row r="70" spans="2:17" x14ac:dyDescent="0.25">
      <c r="B70" s="223">
        <f>B68+1</f>
        <v>21</v>
      </c>
      <c r="C70" s="224" t="s">
        <v>362</v>
      </c>
      <c r="D70" s="223" t="s">
        <v>449</v>
      </c>
      <c r="E70" s="548"/>
      <c r="F70" s="549"/>
      <c r="G70" s="549"/>
      <c r="H70" s="549"/>
      <c r="I70" s="549"/>
      <c r="J70" s="549"/>
      <c r="K70" s="549"/>
      <c r="L70" s="549"/>
      <c r="M70" s="549"/>
      <c r="N70" s="549"/>
      <c r="O70" s="549"/>
      <c r="P70" s="549"/>
      <c r="Q70" s="550"/>
    </row>
    <row r="71" spans="2:17" x14ac:dyDescent="0.25">
      <c r="B71" s="223">
        <f>B70+1</f>
        <v>22</v>
      </c>
      <c r="C71" s="224" t="s">
        <v>450</v>
      </c>
      <c r="D71" s="223" t="s">
        <v>449</v>
      </c>
      <c r="E71" s="551"/>
      <c r="F71" s="552"/>
      <c r="G71" s="552"/>
      <c r="H71" s="552"/>
      <c r="I71" s="552"/>
      <c r="J71" s="552"/>
      <c r="K71" s="552"/>
      <c r="L71" s="552"/>
      <c r="M71" s="552"/>
      <c r="N71" s="552"/>
      <c r="O71" s="552"/>
      <c r="P71" s="552"/>
      <c r="Q71" s="553"/>
    </row>
  </sheetData>
  <mergeCells count="6">
    <mergeCell ref="E43:Q71"/>
    <mergeCell ref="B2:Q2"/>
    <mergeCell ref="B3:Q3"/>
    <mergeCell ref="B4:Q4"/>
    <mergeCell ref="B5:Q5"/>
    <mergeCell ref="E10:Q38"/>
  </mergeCells>
  <pageMargins left="0.7" right="0.7" top="0.75" bottom="0.75" header="0.3" footer="0.3"/>
  <pageSetup paperSize="9" scale="4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2:N65"/>
  <sheetViews>
    <sheetView showGridLines="0" view="pageBreakPreview" topLeftCell="A43" zoomScale="67" zoomScaleNormal="80" zoomScaleSheetLayoutView="85" workbookViewId="0">
      <selection activeCell="C63" sqref="C63"/>
    </sheetView>
  </sheetViews>
  <sheetFormatPr defaultColWidth="8.81640625" defaultRowHeight="13" x14ac:dyDescent="0.3"/>
  <cols>
    <col min="1" max="1" width="8.81640625" style="93"/>
    <col min="2" max="2" width="13.81640625" style="93" customWidth="1"/>
    <col min="3" max="3" width="14" style="93" customWidth="1"/>
    <col min="4" max="4" width="10.54296875" style="93" customWidth="1"/>
    <col min="5" max="5" width="12.26953125" style="93" customWidth="1"/>
    <col min="6" max="6" width="13.1796875" style="93" customWidth="1"/>
    <col min="7" max="9" width="10" style="93" customWidth="1"/>
    <col min="10" max="13" width="11.453125" style="93" customWidth="1"/>
    <col min="14" max="14" width="11" style="93" customWidth="1"/>
    <col min="15" max="16384" width="8.81640625" style="93"/>
  </cols>
  <sheetData>
    <row r="2" spans="2:14" ht="14" x14ac:dyDescent="0.3">
      <c r="B2" s="447" t="s">
        <v>628</v>
      </c>
      <c r="C2" s="447"/>
      <c r="D2" s="447"/>
      <c r="E2" s="447"/>
      <c r="F2" s="447"/>
      <c r="G2" s="447"/>
      <c r="H2" s="447"/>
      <c r="I2" s="447"/>
      <c r="J2" s="447"/>
      <c r="K2" s="447"/>
      <c r="L2" s="447"/>
      <c r="M2" s="447"/>
      <c r="N2" s="447"/>
    </row>
    <row r="3" spans="2:14" ht="14" x14ac:dyDescent="0.3">
      <c r="B3" s="537" t="s">
        <v>602</v>
      </c>
      <c r="C3" s="537"/>
      <c r="D3" s="537"/>
      <c r="E3" s="537"/>
      <c r="F3" s="537"/>
      <c r="G3" s="537"/>
      <c r="H3" s="537"/>
      <c r="I3" s="537"/>
      <c r="J3" s="537"/>
      <c r="K3" s="537"/>
      <c r="L3" s="537"/>
      <c r="M3" s="537"/>
      <c r="N3" s="537"/>
    </row>
    <row r="4" spans="2:14" ht="14" x14ac:dyDescent="0.3">
      <c r="B4" s="537" t="s">
        <v>430</v>
      </c>
      <c r="C4" s="537"/>
      <c r="D4" s="537"/>
      <c r="E4" s="537"/>
      <c r="F4" s="537"/>
      <c r="G4" s="537"/>
      <c r="H4" s="537"/>
      <c r="I4" s="537"/>
      <c r="J4" s="537"/>
      <c r="K4" s="537"/>
      <c r="L4" s="537"/>
      <c r="M4" s="537"/>
      <c r="N4" s="537"/>
    </row>
    <row r="5" spans="2:14" ht="14" x14ac:dyDescent="0.3">
      <c r="B5" s="537" t="s">
        <v>629</v>
      </c>
      <c r="C5" s="537"/>
      <c r="D5" s="537"/>
      <c r="E5" s="537"/>
      <c r="F5" s="537"/>
      <c r="G5" s="537"/>
      <c r="H5" s="537"/>
      <c r="I5" s="537"/>
      <c r="J5" s="537"/>
      <c r="K5" s="537"/>
      <c r="L5" s="537"/>
      <c r="M5" s="537"/>
      <c r="N5" s="537"/>
    </row>
    <row r="6" spans="2:14" ht="14" x14ac:dyDescent="0.3">
      <c r="B6" s="88"/>
      <c r="C6" s="88"/>
      <c r="D6" s="88"/>
      <c r="E6" s="88"/>
      <c r="F6" s="88"/>
      <c r="G6" s="88"/>
      <c r="H6" s="88"/>
      <c r="I6" s="88"/>
      <c r="J6" s="88"/>
      <c r="K6" s="88"/>
      <c r="L6" s="88"/>
      <c r="M6" s="88"/>
      <c r="N6" s="88"/>
    </row>
    <row r="7" spans="2:14" ht="14" x14ac:dyDescent="0.3">
      <c r="B7" s="67" t="s">
        <v>620</v>
      </c>
    </row>
    <row r="8" spans="2:14" ht="14" x14ac:dyDescent="0.3">
      <c r="B8" s="67"/>
      <c r="N8" s="117" t="s">
        <v>16</v>
      </c>
    </row>
    <row r="9" spans="2:14" ht="13" customHeight="1" x14ac:dyDescent="0.3">
      <c r="B9" s="542" t="s">
        <v>289</v>
      </c>
      <c r="C9" s="464" t="s">
        <v>302</v>
      </c>
      <c r="D9" s="464"/>
      <c r="E9" s="464"/>
      <c r="F9" s="464"/>
      <c r="G9" s="463" t="s">
        <v>303</v>
      </c>
      <c r="H9" s="463"/>
      <c r="I9" s="463"/>
      <c r="J9" s="543" t="s">
        <v>304</v>
      </c>
      <c r="K9" s="543"/>
      <c r="L9" s="543"/>
      <c r="M9" s="543"/>
      <c r="N9" s="543"/>
    </row>
    <row r="10" spans="2:14" ht="69" customHeight="1" x14ac:dyDescent="0.3">
      <c r="B10" s="542"/>
      <c r="C10" s="294" t="s">
        <v>358</v>
      </c>
      <c r="D10" s="294" t="s">
        <v>356</v>
      </c>
      <c r="E10" s="294" t="s">
        <v>624</v>
      </c>
      <c r="F10" s="294" t="s">
        <v>357</v>
      </c>
      <c r="G10" s="294" t="s">
        <v>305</v>
      </c>
      <c r="H10" s="294" t="s">
        <v>625</v>
      </c>
      <c r="I10" s="294" t="s">
        <v>306</v>
      </c>
      <c r="J10" s="294" t="s">
        <v>307</v>
      </c>
      <c r="K10" s="294" t="s">
        <v>308</v>
      </c>
      <c r="L10" s="294" t="s">
        <v>626</v>
      </c>
      <c r="M10" s="294" t="s">
        <v>627</v>
      </c>
      <c r="N10" s="295" t="s">
        <v>282</v>
      </c>
    </row>
    <row r="11" spans="2:14" x14ac:dyDescent="0.3">
      <c r="B11" s="112"/>
      <c r="C11" s="113"/>
      <c r="D11" s="113"/>
      <c r="E11" s="113"/>
      <c r="F11" s="113"/>
      <c r="G11" s="113"/>
      <c r="H11" s="113"/>
      <c r="I11" s="113"/>
      <c r="J11" s="113"/>
      <c r="K11" s="113"/>
      <c r="L11" s="113"/>
      <c r="M11" s="113"/>
      <c r="N11" s="114"/>
    </row>
    <row r="12" spans="2:14" ht="14" x14ac:dyDescent="0.3">
      <c r="B12" s="110" t="s">
        <v>639</v>
      </c>
      <c r="C12" s="357">
        <f ca="1">'F9'!C12</f>
        <v>179.71346976553008</v>
      </c>
      <c r="D12" s="357">
        <f>'F9'!D12</f>
        <v>3.5070872316104684</v>
      </c>
      <c r="E12" s="357">
        <f>'F9'!E12</f>
        <v>0</v>
      </c>
      <c r="F12" s="357">
        <f>'F9'!F12</f>
        <v>0</v>
      </c>
      <c r="G12" s="357">
        <f>'F9'!G12</f>
        <v>739.16686800000002</v>
      </c>
      <c r="H12" s="377">
        <f>'F9'!H12</f>
        <v>1</v>
      </c>
      <c r="I12" s="115"/>
      <c r="J12" s="357">
        <f ca="1">C12</f>
        <v>179.71346976553008</v>
      </c>
      <c r="K12" s="361">
        <f>G12*D12/10</f>
        <v>259.23226847923007</v>
      </c>
      <c r="L12" s="115"/>
      <c r="M12" s="115"/>
      <c r="N12" s="360">
        <f ca="1">SUM(J12:M12)</f>
        <v>438.94573824476015</v>
      </c>
    </row>
    <row r="13" spans="2:14" x14ac:dyDescent="0.3">
      <c r="B13" s="74"/>
      <c r="C13" s="74"/>
      <c r="D13" s="74"/>
      <c r="E13" s="74"/>
      <c r="F13" s="74"/>
      <c r="G13" s="74"/>
      <c r="H13" s="74"/>
      <c r="I13" s="74"/>
      <c r="J13" s="74"/>
      <c r="K13" s="74"/>
      <c r="L13" s="74"/>
      <c r="M13" s="74"/>
      <c r="N13" s="74"/>
    </row>
    <row r="14" spans="2:14" ht="14" x14ac:dyDescent="0.3">
      <c r="B14" s="110" t="s">
        <v>282</v>
      </c>
      <c r="C14" s="74"/>
      <c r="D14" s="74"/>
      <c r="E14" s="74"/>
      <c r="F14" s="74"/>
      <c r="G14" s="74"/>
      <c r="H14" s="74"/>
      <c r="I14" s="74"/>
      <c r="J14" s="74"/>
      <c r="K14" s="74"/>
      <c r="L14" s="74"/>
      <c r="M14" s="74"/>
      <c r="N14" s="74"/>
    </row>
    <row r="18" spans="2:14" ht="14" x14ac:dyDescent="0.3">
      <c r="B18" s="67" t="s">
        <v>658</v>
      </c>
    </row>
    <row r="19" spans="2:14" ht="14" x14ac:dyDescent="0.3">
      <c r="B19" s="67"/>
      <c r="N19" s="117" t="s">
        <v>16</v>
      </c>
    </row>
    <row r="20" spans="2:14" ht="29.5" customHeight="1" x14ac:dyDescent="0.3">
      <c r="B20" s="542" t="s">
        <v>289</v>
      </c>
      <c r="C20" s="464" t="s">
        <v>302</v>
      </c>
      <c r="D20" s="464"/>
      <c r="E20" s="464"/>
      <c r="F20" s="464"/>
      <c r="G20" s="463" t="s">
        <v>303</v>
      </c>
      <c r="H20" s="463"/>
      <c r="I20" s="463"/>
      <c r="J20" s="543" t="s">
        <v>304</v>
      </c>
      <c r="K20" s="543"/>
      <c r="L20" s="543"/>
      <c r="M20" s="543"/>
      <c r="N20" s="543"/>
    </row>
    <row r="21" spans="2:14" ht="65.25" customHeight="1" x14ac:dyDescent="0.3">
      <c r="B21" s="542"/>
      <c r="C21" s="294" t="s">
        <v>358</v>
      </c>
      <c r="D21" s="294" t="s">
        <v>356</v>
      </c>
      <c r="E21" s="294" t="s">
        <v>624</v>
      </c>
      <c r="F21" s="294" t="s">
        <v>357</v>
      </c>
      <c r="G21" s="294" t="s">
        <v>305</v>
      </c>
      <c r="H21" s="294" t="s">
        <v>625</v>
      </c>
      <c r="I21" s="294" t="s">
        <v>306</v>
      </c>
      <c r="J21" s="294" t="s">
        <v>307</v>
      </c>
      <c r="K21" s="294" t="s">
        <v>308</v>
      </c>
      <c r="L21" s="294" t="s">
        <v>626</v>
      </c>
      <c r="M21" s="294" t="s">
        <v>627</v>
      </c>
      <c r="N21" s="295" t="s">
        <v>282</v>
      </c>
    </row>
    <row r="22" spans="2:14" x14ac:dyDescent="0.3">
      <c r="B22" s="112"/>
      <c r="C22" s="113"/>
      <c r="D22" s="113"/>
      <c r="E22" s="113"/>
      <c r="F22" s="113"/>
      <c r="G22" s="113"/>
      <c r="H22" s="113"/>
      <c r="I22" s="113"/>
      <c r="J22" s="113"/>
      <c r="K22" s="113"/>
      <c r="L22" s="113"/>
      <c r="M22" s="113"/>
      <c r="N22" s="114"/>
    </row>
    <row r="23" spans="2:14" ht="14" x14ac:dyDescent="0.3">
      <c r="B23" s="110" t="s">
        <v>639</v>
      </c>
      <c r="C23" s="357">
        <f ca="1">'F9'!C21</f>
        <v>1208.5175490455269</v>
      </c>
      <c r="D23" s="357">
        <f>'F9'!D21</f>
        <v>4.2589698235724143</v>
      </c>
      <c r="E23" s="357">
        <f>'F9'!E21</f>
        <v>0</v>
      </c>
      <c r="F23" s="357">
        <f>'F9'!F21</f>
        <v>0</v>
      </c>
      <c r="G23" s="357">
        <f>'F9'!G21</f>
        <v>4572.8119800000004</v>
      </c>
      <c r="H23" s="357">
        <f>'F9'!H21</f>
        <v>1</v>
      </c>
      <c r="I23" s="357">
        <f>'F9'!I21</f>
        <v>0</v>
      </c>
      <c r="J23" s="357">
        <f ca="1">C23</f>
        <v>1208.5175490455269</v>
      </c>
      <c r="K23" s="361">
        <f>G23*D23/10</f>
        <v>1947.5468231690425</v>
      </c>
      <c r="L23" s="115"/>
      <c r="M23" s="115"/>
      <c r="N23" s="360">
        <f ca="1">SUM(J23:M23)</f>
        <v>3156.0643722145696</v>
      </c>
    </row>
    <row r="24" spans="2:14" x14ac:dyDescent="0.3">
      <c r="B24" s="74"/>
      <c r="C24" s="74"/>
      <c r="D24" s="74"/>
      <c r="E24" s="74"/>
      <c r="F24" s="74"/>
      <c r="G24" s="74"/>
      <c r="H24" s="74"/>
      <c r="I24" s="74"/>
      <c r="J24" s="74"/>
      <c r="K24" s="74"/>
      <c r="L24" s="74"/>
      <c r="M24" s="74"/>
      <c r="N24" s="74"/>
    </row>
    <row r="25" spans="2:14" ht="14" x14ac:dyDescent="0.3">
      <c r="B25" s="110" t="s">
        <v>282</v>
      </c>
      <c r="C25" s="74"/>
      <c r="D25" s="74"/>
      <c r="E25" s="74"/>
      <c r="F25" s="74"/>
      <c r="G25" s="74"/>
      <c r="H25" s="74"/>
      <c r="I25" s="74"/>
      <c r="J25" s="74"/>
      <c r="K25" s="74"/>
      <c r="L25" s="74"/>
      <c r="M25" s="74"/>
      <c r="N25" s="74"/>
    </row>
    <row r="26" spans="2:14" ht="14" x14ac:dyDescent="0.3">
      <c r="B26" s="247"/>
      <c r="C26" s="76"/>
      <c r="D26" s="76"/>
      <c r="E26" s="76"/>
      <c r="F26" s="76"/>
      <c r="G26" s="76"/>
      <c r="H26" s="76"/>
      <c r="I26" s="76"/>
      <c r="J26" s="76"/>
      <c r="K26" s="76"/>
      <c r="L26" s="76"/>
      <c r="M26" s="76"/>
      <c r="N26" s="76"/>
    </row>
    <row r="27" spans="2:14" ht="14" x14ac:dyDescent="0.3">
      <c r="B27" s="247"/>
      <c r="C27" s="76"/>
      <c r="D27" s="76"/>
      <c r="E27" s="76"/>
      <c r="F27" s="76"/>
      <c r="G27" s="76"/>
      <c r="H27" s="76"/>
      <c r="I27" s="76"/>
      <c r="J27" s="76"/>
      <c r="K27" s="76"/>
      <c r="L27" s="76"/>
      <c r="M27" s="76"/>
      <c r="N27" s="76"/>
    </row>
    <row r="28" spans="2:14" ht="14" x14ac:dyDescent="0.3">
      <c r="B28" s="67" t="s">
        <v>672</v>
      </c>
    </row>
    <row r="29" spans="2:14" ht="14" x14ac:dyDescent="0.3">
      <c r="B29" s="67"/>
      <c r="N29" s="117" t="s">
        <v>16</v>
      </c>
    </row>
    <row r="30" spans="2:14" ht="14" x14ac:dyDescent="0.3">
      <c r="B30" s="542" t="s">
        <v>289</v>
      </c>
      <c r="C30" s="464" t="s">
        <v>302</v>
      </c>
      <c r="D30" s="464"/>
      <c r="E30" s="464"/>
      <c r="F30" s="464"/>
      <c r="G30" s="463" t="s">
        <v>303</v>
      </c>
      <c r="H30" s="463"/>
      <c r="I30" s="463"/>
      <c r="J30" s="543" t="s">
        <v>304</v>
      </c>
      <c r="K30" s="543"/>
      <c r="L30" s="543"/>
      <c r="M30" s="543"/>
      <c r="N30" s="543"/>
    </row>
    <row r="31" spans="2:14" ht="84" x14ac:dyDescent="0.3">
      <c r="B31" s="542"/>
      <c r="C31" s="407" t="s">
        <v>358</v>
      </c>
      <c r="D31" s="407" t="s">
        <v>356</v>
      </c>
      <c r="E31" s="407" t="s">
        <v>624</v>
      </c>
      <c r="F31" s="407" t="s">
        <v>357</v>
      </c>
      <c r="G31" s="407" t="s">
        <v>305</v>
      </c>
      <c r="H31" s="407" t="s">
        <v>625</v>
      </c>
      <c r="I31" s="407" t="s">
        <v>306</v>
      </c>
      <c r="J31" s="407" t="s">
        <v>307</v>
      </c>
      <c r="K31" s="407" t="s">
        <v>308</v>
      </c>
      <c r="L31" s="407" t="s">
        <v>626</v>
      </c>
      <c r="M31" s="407" t="s">
        <v>627</v>
      </c>
      <c r="N31" s="408" t="s">
        <v>282</v>
      </c>
    </row>
    <row r="32" spans="2:14" x14ac:dyDescent="0.3">
      <c r="B32" s="112"/>
      <c r="C32" s="113"/>
      <c r="D32" s="113"/>
      <c r="E32" s="113"/>
      <c r="F32" s="113"/>
      <c r="G32" s="113"/>
      <c r="H32" s="113"/>
      <c r="I32" s="113"/>
      <c r="J32" s="113"/>
      <c r="K32" s="113"/>
      <c r="L32" s="113"/>
      <c r="M32" s="113"/>
      <c r="N32" s="114"/>
    </row>
    <row r="33" spans="2:14" ht="14" x14ac:dyDescent="0.3">
      <c r="B33" s="110" t="s">
        <v>639</v>
      </c>
      <c r="C33" s="357">
        <f ca="1">'F9'!C30</f>
        <v>1212.9263199689331</v>
      </c>
      <c r="D33" s="357">
        <f>'F9'!D30</f>
        <v>4.4106624094233338</v>
      </c>
      <c r="E33" s="357">
        <f>'F9'!E30</f>
        <v>0</v>
      </c>
      <c r="F33" s="357">
        <f>'F9'!F30</f>
        <v>0</v>
      </c>
      <c r="G33" s="357">
        <f>'F9'!G30</f>
        <v>4572.8119800000004</v>
      </c>
      <c r="H33" s="357">
        <f>'F9'!H30</f>
        <v>1</v>
      </c>
      <c r="I33" s="357">
        <f>'F9'!I30</f>
        <v>0</v>
      </c>
      <c r="J33" s="357">
        <f ca="1">C33</f>
        <v>1212.9263199689331</v>
      </c>
      <c r="K33" s="361">
        <f>G33*D33/10</f>
        <v>2016.9129905546688</v>
      </c>
      <c r="L33" s="115"/>
      <c r="M33" s="115"/>
      <c r="N33" s="360">
        <f ca="1">SUM(J33:M33)</f>
        <v>3229.8393105236019</v>
      </c>
    </row>
    <row r="34" spans="2:14" x14ac:dyDescent="0.3">
      <c r="B34" s="74"/>
      <c r="C34" s="74"/>
      <c r="D34" s="74"/>
      <c r="E34" s="74"/>
      <c r="F34" s="74"/>
      <c r="G34" s="74"/>
      <c r="H34" s="74"/>
      <c r="I34" s="74"/>
      <c r="J34" s="74"/>
      <c r="K34" s="74"/>
      <c r="L34" s="74"/>
      <c r="M34" s="74"/>
      <c r="N34" s="74"/>
    </row>
    <row r="35" spans="2:14" ht="14" x14ac:dyDescent="0.3">
      <c r="B35" s="110" t="s">
        <v>282</v>
      </c>
      <c r="C35" s="74"/>
      <c r="D35" s="74"/>
      <c r="E35" s="74"/>
      <c r="F35" s="74"/>
      <c r="G35" s="74"/>
      <c r="H35" s="74"/>
      <c r="I35" s="74"/>
      <c r="J35" s="74"/>
      <c r="K35" s="74"/>
      <c r="L35" s="74"/>
      <c r="M35" s="74"/>
      <c r="N35" s="74"/>
    </row>
    <row r="38" spans="2:14" ht="14" x14ac:dyDescent="0.3">
      <c r="B38" s="67" t="s">
        <v>674</v>
      </c>
    </row>
    <row r="39" spans="2:14" ht="14" x14ac:dyDescent="0.3">
      <c r="B39" s="67"/>
      <c r="N39" s="117" t="s">
        <v>16</v>
      </c>
    </row>
    <row r="40" spans="2:14" ht="14" x14ac:dyDescent="0.3">
      <c r="B40" s="542" t="s">
        <v>289</v>
      </c>
      <c r="C40" s="464" t="s">
        <v>302</v>
      </c>
      <c r="D40" s="464"/>
      <c r="E40" s="464"/>
      <c r="F40" s="464"/>
      <c r="G40" s="463" t="s">
        <v>303</v>
      </c>
      <c r="H40" s="463"/>
      <c r="I40" s="463"/>
      <c r="J40" s="543" t="s">
        <v>304</v>
      </c>
      <c r="K40" s="543"/>
      <c r="L40" s="543"/>
      <c r="M40" s="543"/>
      <c r="N40" s="543"/>
    </row>
    <row r="41" spans="2:14" ht="84" x14ac:dyDescent="0.3">
      <c r="B41" s="542"/>
      <c r="C41" s="407" t="s">
        <v>358</v>
      </c>
      <c r="D41" s="407" t="s">
        <v>356</v>
      </c>
      <c r="E41" s="407" t="s">
        <v>624</v>
      </c>
      <c r="F41" s="407" t="s">
        <v>357</v>
      </c>
      <c r="G41" s="407" t="s">
        <v>305</v>
      </c>
      <c r="H41" s="407" t="s">
        <v>625</v>
      </c>
      <c r="I41" s="407" t="s">
        <v>306</v>
      </c>
      <c r="J41" s="407" t="s">
        <v>307</v>
      </c>
      <c r="K41" s="407" t="s">
        <v>308</v>
      </c>
      <c r="L41" s="407" t="s">
        <v>626</v>
      </c>
      <c r="M41" s="407" t="s">
        <v>627</v>
      </c>
      <c r="N41" s="408" t="s">
        <v>282</v>
      </c>
    </row>
    <row r="42" spans="2:14" x14ac:dyDescent="0.3">
      <c r="B42" s="112"/>
      <c r="C42" s="113"/>
      <c r="D42" s="113"/>
      <c r="E42" s="113"/>
      <c r="F42" s="113"/>
      <c r="G42" s="113"/>
      <c r="H42" s="113"/>
      <c r="I42" s="113"/>
      <c r="J42" s="113"/>
      <c r="K42" s="113"/>
      <c r="L42" s="113"/>
      <c r="M42" s="113"/>
      <c r="N42" s="114"/>
    </row>
    <row r="43" spans="2:14" ht="14" x14ac:dyDescent="0.3">
      <c r="B43" s="110" t="s">
        <v>639</v>
      </c>
      <c r="C43" s="357">
        <f ca="1">'F9'!C39</f>
        <v>1193.9387657830189</v>
      </c>
      <c r="D43" s="357">
        <f>'F9'!D39</f>
        <v>4.5691511186575289</v>
      </c>
      <c r="E43" s="357">
        <f>'F9'!E39</f>
        <v>0</v>
      </c>
      <c r="F43" s="357">
        <f>'F9'!F39</f>
        <v>0</v>
      </c>
      <c r="G43" s="357">
        <f>'F9'!G39</f>
        <v>4585.3402320000005</v>
      </c>
      <c r="H43" s="357">
        <f>'F9'!H39</f>
        <v>1</v>
      </c>
      <c r="I43" s="357">
        <f>'F9'!I39</f>
        <v>0</v>
      </c>
      <c r="J43" s="357">
        <f ca="1">C43</f>
        <v>1193.9387657830189</v>
      </c>
      <c r="K43" s="361">
        <f>G43*D43/10</f>
        <v>2095.1112450468177</v>
      </c>
      <c r="L43" s="115"/>
      <c r="M43" s="115"/>
      <c r="N43" s="360">
        <f ca="1">SUM(J43:M43)</f>
        <v>3289.0500108298365</v>
      </c>
    </row>
    <row r="44" spans="2:14" x14ac:dyDescent="0.3">
      <c r="B44" s="74"/>
      <c r="C44" s="74"/>
      <c r="D44" s="74"/>
      <c r="E44" s="74"/>
      <c r="F44" s="74"/>
      <c r="G44" s="74"/>
      <c r="H44" s="74"/>
      <c r="I44" s="74"/>
      <c r="J44" s="74"/>
      <c r="K44" s="74"/>
      <c r="L44" s="74"/>
      <c r="M44" s="74"/>
      <c r="N44" s="74"/>
    </row>
    <row r="45" spans="2:14" ht="14" x14ac:dyDescent="0.3">
      <c r="B45" s="110" t="s">
        <v>282</v>
      </c>
      <c r="C45" s="74"/>
      <c r="D45" s="74"/>
      <c r="E45" s="74"/>
      <c r="F45" s="74"/>
      <c r="G45" s="74"/>
      <c r="H45" s="74"/>
      <c r="I45" s="74"/>
      <c r="J45" s="74"/>
      <c r="K45" s="74"/>
      <c r="L45" s="74"/>
      <c r="M45" s="74"/>
      <c r="N45" s="74"/>
    </row>
    <row r="48" spans="2:14" ht="14" x14ac:dyDescent="0.3">
      <c r="B48" s="67" t="s">
        <v>673</v>
      </c>
    </row>
    <row r="49" spans="2:14" ht="14" x14ac:dyDescent="0.3">
      <c r="B49" s="67"/>
      <c r="N49" s="117" t="s">
        <v>16</v>
      </c>
    </row>
    <row r="50" spans="2:14" ht="14" x14ac:dyDescent="0.3">
      <c r="B50" s="542" t="s">
        <v>289</v>
      </c>
      <c r="C50" s="464" t="s">
        <v>302</v>
      </c>
      <c r="D50" s="464"/>
      <c r="E50" s="464"/>
      <c r="F50" s="464"/>
      <c r="G50" s="463" t="s">
        <v>303</v>
      </c>
      <c r="H50" s="463"/>
      <c r="I50" s="463"/>
      <c r="J50" s="543" t="s">
        <v>304</v>
      </c>
      <c r="K50" s="543"/>
      <c r="L50" s="543"/>
      <c r="M50" s="543"/>
      <c r="N50" s="543"/>
    </row>
    <row r="51" spans="2:14" ht="84" x14ac:dyDescent="0.3">
      <c r="B51" s="542"/>
      <c r="C51" s="407" t="s">
        <v>358</v>
      </c>
      <c r="D51" s="407" t="s">
        <v>356</v>
      </c>
      <c r="E51" s="407" t="s">
        <v>624</v>
      </c>
      <c r="F51" s="407" t="s">
        <v>357</v>
      </c>
      <c r="G51" s="407" t="s">
        <v>305</v>
      </c>
      <c r="H51" s="407" t="s">
        <v>625</v>
      </c>
      <c r="I51" s="407" t="s">
        <v>306</v>
      </c>
      <c r="J51" s="407" t="s">
        <v>307</v>
      </c>
      <c r="K51" s="407" t="s">
        <v>308</v>
      </c>
      <c r="L51" s="407" t="s">
        <v>626</v>
      </c>
      <c r="M51" s="407" t="s">
        <v>627</v>
      </c>
      <c r="N51" s="408" t="s">
        <v>282</v>
      </c>
    </row>
    <row r="52" spans="2:14" x14ac:dyDescent="0.3">
      <c r="B52" s="112"/>
      <c r="C52" s="113"/>
      <c r="D52" s="113"/>
      <c r="E52" s="113"/>
      <c r="F52" s="113"/>
      <c r="G52" s="113"/>
      <c r="H52" s="113"/>
      <c r="I52" s="113"/>
      <c r="J52" s="113"/>
      <c r="K52" s="113"/>
      <c r="L52" s="113"/>
      <c r="M52" s="113"/>
      <c r="N52" s="114"/>
    </row>
    <row r="53" spans="2:14" ht="14" x14ac:dyDescent="0.3">
      <c r="B53" s="110" t="s">
        <v>639</v>
      </c>
      <c r="C53" s="357">
        <f ca="1">'F9'!C48</f>
        <v>1174.8804027017272</v>
      </c>
      <c r="D53" s="357">
        <f>'F9'!D48</f>
        <v>4.7372171172131905</v>
      </c>
      <c r="E53" s="357">
        <f>'F9'!E48</f>
        <v>0</v>
      </c>
      <c r="F53" s="357">
        <f>'F9'!F48</f>
        <v>0</v>
      </c>
      <c r="G53" s="357">
        <f>'F9'!G48</f>
        <v>4572.8119800000004</v>
      </c>
      <c r="H53" s="357">
        <f>'F9'!H48</f>
        <v>1</v>
      </c>
      <c r="I53" s="357">
        <f>'F9'!I48</f>
        <v>0</v>
      </c>
      <c r="J53" s="357">
        <f ca="1">C53</f>
        <v>1174.8804027017272</v>
      </c>
      <c r="K53" s="361">
        <f>G53*D53/10</f>
        <v>2166.2403185453541</v>
      </c>
      <c r="L53" s="115"/>
      <c r="M53" s="115"/>
      <c r="N53" s="360">
        <f ca="1">SUM(J53:M53)</f>
        <v>3341.1207212470813</v>
      </c>
    </row>
    <row r="54" spans="2:14" x14ac:dyDescent="0.3">
      <c r="B54" s="74"/>
      <c r="C54" s="74"/>
      <c r="D54" s="74"/>
      <c r="E54" s="74"/>
      <c r="F54" s="74"/>
      <c r="G54" s="74"/>
      <c r="H54" s="74"/>
      <c r="I54" s="74"/>
      <c r="J54" s="74"/>
      <c r="K54" s="74"/>
      <c r="L54" s="74"/>
      <c r="M54" s="74"/>
      <c r="N54" s="74"/>
    </row>
    <row r="55" spans="2:14" ht="14" x14ac:dyDescent="0.3">
      <c r="B55" s="110" t="s">
        <v>282</v>
      </c>
      <c r="C55" s="74"/>
      <c r="D55" s="74"/>
      <c r="E55" s="74"/>
      <c r="F55" s="74"/>
      <c r="G55" s="74"/>
      <c r="H55" s="74"/>
      <c r="I55" s="74"/>
      <c r="J55" s="74"/>
      <c r="K55" s="74"/>
      <c r="L55" s="74"/>
      <c r="M55" s="74"/>
      <c r="N55" s="74"/>
    </row>
    <row r="58" spans="2:14" ht="14" x14ac:dyDescent="0.3">
      <c r="B58" s="67" t="s">
        <v>675</v>
      </c>
    </row>
    <row r="59" spans="2:14" ht="14" x14ac:dyDescent="0.3">
      <c r="B59" s="67"/>
      <c r="N59" s="117" t="s">
        <v>16</v>
      </c>
    </row>
    <row r="60" spans="2:14" ht="14" x14ac:dyDescent="0.3">
      <c r="B60" s="542" t="s">
        <v>289</v>
      </c>
      <c r="C60" s="464" t="s">
        <v>302</v>
      </c>
      <c r="D60" s="464"/>
      <c r="E60" s="464"/>
      <c r="F60" s="464"/>
      <c r="G60" s="463" t="s">
        <v>303</v>
      </c>
      <c r="H60" s="463"/>
      <c r="I60" s="463"/>
      <c r="J60" s="543" t="s">
        <v>304</v>
      </c>
      <c r="K60" s="543"/>
      <c r="L60" s="543"/>
      <c r="M60" s="543"/>
      <c r="N60" s="543"/>
    </row>
    <row r="61" spans="2:14" ht="84" x14ac:dyDescent="0.3">
      <c r="B61" s="542"/>
      <c r="C61" s="407" t="s">
        <v>358</v>
      </c>
      <c r="D61" s="407" t="s">
        <v>356</v>
      </c>
      <c r="E61" s="407" t="s">
        <v>624</v>
      </c>
      <c r="F61" s="407" t="s">
        <v>357</v>
      </c>
      <c r="G61" s="407" t="s">
        <v>305</v>
      </c>
      <c r="H61" s="407" t="s">
        <v>625</v>
      </c>
      <c r="I61" s="407" t="s">
        <v>306</v>
      </c>
      <c r="J61" s="407" t="s">
        <v>307</v>
      </c>
      <c r="K61" s="407" t="s">
        <v>308</v>
      </c>
      <c r="L61" s="407" t="s">
        <v>626</v>
      </c>
      <c r="M61" s="407" t="s">
        <v>627</v>
      </c>
      <c r="N61" s="408" t="s">
        <v>282</v>
      </c>
    </row>
    <row r="62" spans="2:14" x14ac:dyDescent="0.3">
      <c r="B62" s="112"/>
      <c r="C62" s="113"/>
      <c r="D62" s="113"/>
      <c r="E62" s="113"/>
      <c r="F62" s="113"/>
      <c r="G62" s="113"/>
      <c r="H62" s="113"/>
      <c r="I62" s="113"/>
      <c r="J62" s="113"/>
      <c r="K62" s="113"/>
      <c r="L62" s="113"/>
      <c r="M62" s="113"/>
      <c r="N62" s="114"/>
    </row>
    <row r="63" spans="2:14" ht="14" x14ac:dyDescent="0.3">
      <c r="B63" s="110" t="s">
        <v>639</v>
      </c>
      <c r="C63" s="357">
        <f ca="1">'F9'!C57</f>
        <v>1155.8677443282459</v>
      </c>
      <c r="D63" s="357">
        <f>'F9'!D57</f>
        <v>4.9119071704299655</v>
      </c>
      <c r="E63" s="357">
        <f>'F9'!E57</f>
        <v>0</v>
      </c>
      <c r="F63" s="357">
        <f>'F9'!F57</f>
        <v>0</v>
      </c>
      <c r="G63" s="357">
        <f>'F9'!G57</f>
        <v>4572.8119800000004</v>
      </c>
      <c r="H63" s="357">
        <f>'F9'!H57</f>
        <v>1</v>
      </c>
      <c r="I63" s="357">
        <f>'F9'!I57</f>
        <v>0</v>
      </c>
      <c r="J63" s="357">
        <f ca="1">C63</f>
        <v>1155.8677443282459</v>
      </c>
      <c r="K63" s="361">
        <f>G63*D63/10</f>
        <v>2246.1227953590051</v>
      </c>
      <c r="L63" s="115"/>
      <c r="M63" s="115"/>
      <c r="N63" s="360">
        <f ca="1">SUM(J63:M63)</f>
        <v>3401.9905396872509</v>
      </c>
    </row>
    <row r="64" spans="2:14" x14ac:dyDescent="0.3">
      <c r="B64" s="74"/>
      <c r="C64" s="74"/>
      <c r="D64" s="74"/>
      <c r="E64" s="74"/>
      <c r="F64" s="74"/>
      <c r="G64" s="74"/>
      <c r="H64" s="74"/>
      <c r="I64" s="74"/>
      <c r="J64" s="74"/>
      <c r="K64" s="74"/>
      <c r="L64" s="74"/>
      <c r="M64" s="74"/>
      <c r="N64" s="74"/>
    </row>
    <row r="65" spans="2:14" ht="14" x14ac:dyDescent="0.3">
      <c r="B65" s="110" t="s">
        <v>282</v>
      </c>
      <c r="C65" s="74"/>
      <c r="D65" s="74"/>
      <c r="E65" s="74"/>
      <c r="F65" s="74"/>
      <c r="G65" s="74"/>
      <c r="H65" s="74"/>
      <c r="I65" s="74"/>
      <c r="J65" s="74"/>
      <c r="K65" s="74"/>
      <c r="L65" s="74"/>
      <c r="M65" s="74"/>
      <c r="N65" s="74"/>
    </row>
  </sheetData>
  <mergeCells count="28">
    <mergeCell ref="B20:B21"/>
    <mergeCell ref="C20:F20"/>
    <mergeCell ref="G20:I20"/>
    <mergeCell ref="J20:N20"/>
    <mergeCell ref="B2:N2"/>
    <mergeCell ref="B3:N3"/>
    <mergeCell ref="B4:N4"/>
    <mergeCell ref="B5:N5"/>
    <mergeCell ref="B9:B10"/>
    <mergeCell ref="C9:F9"/>
    <mergeCell ref="G9:I9"/>
    <mergeCell ref="J9:N9"/>
    <mergeCell ref="B30:B31"/>
    <mergeCell ref="C30:F30"/>
    <mergeCell ref="G30:I30"/>
    <mergeCell ref="J30:N30"/>
    <mergeCell ref="B40:B41"/>
    <mergeCell ref="C40:F40"/>
    <mergeCell ref="G40:I40"/>
    <mergeCell ref="J40:N40"/>
    <mergeCell ref="B50:B51"/>
    <mergeCell ref="C50:F50"/>
    <mergeCell ref="G50:I50"/>
    <mergeCell ref="J50:N50"/>
    <mergeCell ref="B60:B61"/>
    <mergeCell ref="C60:F60"/>
    <mergeCell ref="G60:I60"/>
    <mergeCell ref="J60:N60"/>
  </mergeCells>
  <pageMargins left="0.70866141732283472" right="0.70866141732283472" top="0.74803149606299213" bottom="0.74803149606299213" header="0.31496062992125984" footer="0.31496062992125984"/>
  <pageSetup paperSize="9" scale="3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2:N69"/>
  <sheetViews>
    <sheetView showGridLines="0" view="pageBreakPreview" zoomScale="80" zoomScaleNormal="80" zoomScaleSheetLayoutView="80" workbookViewId="0">
      <selection activeCell="J67" sqref="J67"/>
    </sheetView>
  </sheetViews>
  <sheetFormatPr defaultColWidth="8.81640625" defaultRowHeight="14" x14ac:dyDescent="0.3"/>
  <cols>
    <col min="1" max="1" width="8.81640625" style="248"/>
    <col min="2" max="2" width="13.453125" style="248" customWidth="1"/>
    <col min="3" max="11" width="12.1796875" style="248" customWidth="1"/>
    <col min="12" max="12" width="14.7265625" style="248" customWidth="1"/>
    <col min="13" max="14" width="12.1796875" style="248" customWidth="1"/>
    <col min="15" max="16384" width="8.81640625" style="248"/>
  </cols>
  <sheetData>
    <row r="2" spans="2:14" x14ac:dyDescent="0.3">
      <c r="B2" s="447" t="s">
        <v>628</v>
      </c>
      <c r="C2" s="447"/>
      <c r="D2" s="447"/>
      <c r="E2" s="447"/>
      <c r="F2" s="447"/>
      <c r="G2" s="447"/>
      <c r="H2" s="447"/>
      <c r="I2" s="447"/>
      <c r="J2" s="447"/>
      <c r="K2" s="447"/>
      <c r="L2" s="447"/>
      <c r="M2" s="447"/>
      <c r="N2" s="447"/>
    </row>
    <row r="3" spans="2:14" x14ac:dyDescent="0.3">
      <c r="B3" s="537" t="s">
        <v>602</v>
      </c>
      <c r="C3" s="537"/>
      <c r="D3" s="537"/>
      <c r="E3" s="537"/>
      <c r="F3" s="537"/>
      <c r="G3" s="537"/>
      <c r="H3" s="537"/>
      <c r="I3" s="537"/>
      <c r="J3" s="537"/>
      <c r="K3" s="537"/>
      <c r="L3" s="537"/>
      <c r="M3" s="537"/>
      <c r="N3" s="537"/>
    </row>
    <row r="4" spans="2:14" x14ac:dyDescent="0.3">
      <c r="B4" s="537" t="s">
        <v>431</v>
      </c>
      <c r="C4" s="537"/>
      <c r="D4" s="537"/>
      <c r="E4" s="537"/>
      <c r="F4" s="537"/>
      <c r="G4" s="537"/>
      <c r="H4" s="537"/>
      <c r="I4" s="537"/>
      <c r="J4" s="537"/>
      <c r="K4" s="537"/>
      <c r="L4" s="537"/>
      <c r="M4" s="537"/>
      <c r="N4" s="537"/>
    </row>
    <row r="5" spans="2:14" x14ac:dyDescent="0.3">
      <c r="B5" s="537" t="s">
        <v>629</v>
      </c>
      <c r="C5" s="537"/>
      <c r="D5" s="537"/>
      <c r="E5" s="537"/>
      <c r="F5" s="537"/>
      <c r="G5" s="537"/>
      <c r="H5" s="537"/>
      <c r="I5" s="537"/>
      <c r="J5" s="537"/>
      <c r="K5" s="537"/>
      <c r="L5" s="537"/>
      <c r="M5" s="537"/>
      <c r="N5" s="537"/>
    </row>
    <row r="7" spans="2:14" x14ac:dyDescent="0.3">
      <c r="B7" s="67" t="s">
        <v>507</v>
      </c>
    </row>
    <row r="8" spans="2:14" x14ac:dyDescent="0.3">
      <c r="B8" s="67"/>
      <c r="N8" s="53" t="s">
        <v>16</v>
      </c>
    </row>
    <row r="9" spans="2:14" s="254" customFormat="1" ht="35.5" customHeight="1" x14ac:dyDescent="0.25">
      <c r="B9" s="451" t="s">
        <v>289</v>
      </c>
      <c r="C9" s="464" t="s">
        <v>302</v>
      </c>
      <c r="D9" s="464"/>
      <c r="E9" s="464"/>
      <c r="F9" s="464"/>
      <c r="G9" s="463" t="s">
        <v>303</v>
      </c>
      <c r="H9" s="463"/>
      <c r="I9" s="463"/>
      <c r="J9" s="543" t="s">
        <v>304</v>
      </c>
      <c r="K9" s="543"/>
      <c r="L9" s="543"/>
      <c r="M9" s="543"/>
      <c r="N9" s="543"/>
    </row>
    <row r="10" spans="2:14" ht="72" customHeight="1" x14ac:dyDescent="0.3">
      <c r="B10" s="451"/>
      <c r="C10" s="294" t="s">
        <v>358</v>
      </c>
      <c r="D10" s="294" t="s">
        <v>356</v>
      </c>
      <c r="E10" s="294" t="s">
        <v>624</v>
      </c>
      <c r="F10" s="294" t="s">
        <v>357</v>
      </c>
      <c r="G10" s="294" t="s">
        <v>305</v>
      </c>
      <c r="H10" s="294" t="s">
        <v>625</v>
      </c>
      <c r="I10" s="294" t="s">
        <v>306</v>
      </c>
      <c r="J10" s="294" t="s">
        <v>307</v>
      </c>
      <c r="K10" s="294" t="s">
        <v>308</v>
      </c>
      <c r="L10" s="294" t="s">
        <v>626</v>
      </c>
      <c r="M10" s="294" t="s">
        <v>627</v>
      </c>
      <c r="N10" s="295" t="s">
        <v>282</v>
      </c>
    </row>
    <row r="11" spans="2:14" x14ac:dyDescent="0.3">
      <c r="B11" s="250"/>
      <c r="C11" s="251"/>
      <c r="D11" s="251"/>
      <c r="E11" s="251"/>
      <c r="F11" s="251"/>
      <c r="G11" s="251"/>
      <c r="H11" s="251"/>
      <c r="I11" s="251"/>
      <c r="J11" s="251"/>
      <c r="K11" s="251"/>
      <c r="L11" s="251"/>
      <c r="M11" s="251"/>
      <c r="N11" s="252"/>
    </row>
    <row r="12" spans="2:14" x14ac:dyDescent="0.3">
      <c r="B12" s="110" t="s">
        <v>639</v>
      </c>
      <c r="C12" s="330">
        <f ca="1">'F9.2'!C12</f>
        <v>179.71346976553008</v>
      </c>
      <c r="D12" s="330">
        <f>'F9.2'!D12</f>
        <v>3.5070872316104684</v>
      </c>
      <c r="E12" s="330">
        <f>'F9.2'!E12</f>
        <v>0</v>
      </c>
      <c r="F12" s="330">
        <f>'F9.2'!F12</f>
        <v>0</v>
      </c>
      <c r="G12" s="330">
        <f>'F9.2'!G12</f>
        <v>739.16686800000002</v>
      </c>
      <c r="H12" s="355">
        <f>'F9.2'!H12</f>
        <v>1</v>
      </c>
      <c r="I12" s="355">
        <f>'F9.2'!I12</f>
        <v>0</v>
      </c>
      <c r="J12" s="357">
        <f ca="1">C12</f>
        <v>179.71346976553008</v>
      </c>
      <c r="K12" s="361">
        <f>G12*D12/10</f>
        <v>259.23226847923007</v>
      </c>
      <c r="L12" s="115"/>
      <c r="M12" s="115"/>
      <c r="N12" s="360">
        <f ca="1">SUM(J12:M12)</f>
        <v>438.94573824476015</v>
      </c>
    </row>
    <row r="13" spans="2:14" x14ac:dyDescent="0.3">
      <c r="B13" s="121"/>
      <c r="C13" s="121"/>
      <c r="D13" s="121"/>
      <c r="E13" s="121"/>
      <c r="F13" s="121"/>
      <c r="G13" s="121"/>
      <c r="H13" s="121"/>
      <c r="I13" s="121"/>
      <c r="J13" s="121"/>
      <c r="K13" s="121"/>
      <c r="L13" s="121"/>
      <c r="M13" s="121"/>
      <c r="N13" s="121"/>
    </row>
    <row r="14" spans="2:14" s="249" customFormat="1" x14ac:dyDescent="0.3">
      <c r="B14" s="253" t="s">
        <v>282</v>
      </c>
      <c r="C14" s="378">
        <f ca="1">SUM(C12:C13)</f>
        <v>179.71346976553008</v>
      </c>
      <c r="D14" s="378"/>
      <c r="E14" s="378">
        <f t="shared" ref="E14:N14" si="0">SUM(E12:E13)</f>
        <v>0</v>
      </c>
      <c r="F14" s="378">
        <f t="shared" si="0"/>
        <v>0</v>
      </c>
      <c r="G14" s="378">
        <f t="shared" si="0"/>
        <v>739.16686800000002</v>
      </c>
      <c r="H14" s="379">
        <f t="shared" si="0"/>
        <v>1</v>
      </c>
      <c r="I14" s="378">
        <f t="shared" si="0"/>
        <v>0</v>
      </c>
      <c r="J14" s="378">
        <f t="shared" ca="1" si="0"/>
        <v>179.71346976553008</v>
      </c>
      <c r="K14" s="378">
        <f t="shared" si="0"/>
        <v>259.23226847923007</v>
      </c>
      <c r="L14" s="378">
        <f t="shared" si="0"/>
        <v>0</v>
      </c>
      <c r="M14" s="378">
        <f t="shared" si="0"/>
        <v>0</v>
      </c>
      <c r="N14" s="378">
        <f t="shared" ca="1" si="0"/>
        <v>438.94573824476015</v>
      </c>
    </row>
    <row r="18" spans="2:14" x14ac:dyDescent="0.3">
      <c r="B18" s="67" t="s">
        <v>653</v>
      </c>
      <c r="N18" s="249"/>
    </row>
    <row r="19" spans="2:14" x14ac:dyDescent="0.3">
      <c r="B19" s="67"/>
      <c r="N19" s="53" t="s">
        <v>16</v>
      </c>
    </row>
    <row r="20" spans="2:14" ht="31.9" customHeight="1" x14ac:dyDescent="0.3">
      <c r="B20" s="451" t="s">
        <v>289</v>
      </c>
      <c r="C20" s="464" t="s">
        <v>302</v>
      </c>
      <c r="D20" s="464"/>
      <c r="E20" s="464"/>
      <c r="F20" s="464"/>
      <c r="G20" s="463" t="s">
        <v>303</v>
      </c>
      <c r="H20" s="463"/>
      <c r="I20" s="463"/>
      <c r="J20" s="543" t="s">
        <v>304</v>
      </c>
      <c r="K20" s="543"/>
      <c r="L20" s="543"/>
      <c r="M20" s="543"/>
      <c r="N20" s="543"/>
    </row>
    <row r="21" spans="2:14" ht="68.25" customHeight="1" x14ac:dyDescent="0.3">
      <c r="B21" s="451"/>
      <c r="C21" s="294" t="s">
        <v>358</v>
      </c>
      <c r="D21" s="294" t="s">
        <v>356</v>
      </c>
      <c r="E21" s="294" t="s">
        <v>624</v>
      </c>
      <c r="F21" s="294" t="s">
        <v>357</v>
      </c>
      <c r="G21" s="294" t="s">
        <v>305</v>
      </c>
      <c r="H21" s="294" t="s">
        <v>625</v>
      </c>
      <c r="I21" s="294" t="s">
        <v>306</v>
      </c>
      <c r="J21" s="294" t="s">
        <v>307</v>
      </c>
      <c r="K21" s="294" t="s">
        <v>308</v>
      </c>
      <c r="L21" s="294" t="s">
        <v>626</v>
      </c>
      <c r="M21" s="294" t="s">
        <v>627</v>
      </c>
      <c r="N21" s="295" t="s">
        <v>282</v>
      </c>
    </row>
    <row r="22" spans="2:14" x14ac:dyDescent="0.3">
      <c r="B22" s="250"/>
      <c r="C22" s="251"/>
      <c r="D22" s="251"/>
      <c r="E22" s="251"/>
      <c r="F22" s="251"/>
      <c r="G22" s="251"/>
      <c r="H22" s="251"/>
      <c r="I22" s="251"/>
      <c r="J22" s="251"/>
      <c r="K22" s="251"/>
      <c r="L22" s="251"/>
      <c r="M22" s="251"/>
      <c r="N22" s="252"/>
    </row>
    <row r="23" spans="2:14" x14ac:dyDescent="0.3">
      <c r="B23" s="110" t="s">
        <v>639</v>
      </c>
      <c r="C23" s="330">
        <f ca="1">'F9.2'!C23</f>
        <v>1208.5175490455269</v>
      </c>
      <c r="D23" s="330">
        <f>'F9.2'!D23</f>
        <v>4.2589698235724143</v>
      </c>
      <c r="E23" s="330">
        <f>'F9.2'!E23</f>
        <v>0</v>
      </c>
      <c r="F23" s="330">
        <f>'F9.2'!F23</f>
        <v>0</v>
      </c>
      <c r="G23" s="330">
        <f>'F9.2'!G23</f>
        <v>4572.8119800000004</v>
      </c>
      <c r="H23" s="330">
        <f>'F9.2'!H23</f>
        <v>1</v>
      </c>
      <c r="I23" s="330">
        <f>'F9.2'!I23</f>
        <v>0</v>
      </c>
      <c r="J23" s="357">
        <f ca="1">C23</f>
        <v>1208.5175490455269</v>
      </c>
      <c r="K23" s="361">
        <f>G23*D23/10</f>
        <v>1947.5468231690425</v>
      </c>
      <c r="L23" s="115"/>
      <c r="M23" s="115"/>
      <c r="N23" s="360">
        <f ca="1">SUM(J23:M23)</f>
        <v>3156.0643722145696</v>
      </c>
    </row>
    <row r="24" spans="2:14" x14ac:dyDescent="0.3">
      <c r="B24" s="121"/>
      <c r="C24" s="121"/>
      <c r="D24" s="121"/>
      <c r="E24" s="121"/>
      <c r="F24" s="121"/>
      <c r="G24" s="121"/>
      <c r="H24" s="121"/>
      <c r="I24" s="121"/>
      <c r="J24" s="121"/>
      <c r="K24" s="121"/>
      <c r="L24" s="121"/>
      <c r="M24" s="121"/>
      <c r="N24" s="121"/>
    </row>
    <row r="25" spans="2:14" x14ac:dyDescent="0.3">
      <c r="B25" s="253" t="s">
        <v>282</v>
      </c>
      <c r="C25" s="378">
        <f ca="1">SUM(C23:C24)</f>
        <v>1208.5175490455269</v>
      </c>
      <c r="D25" s="378"/>
      <c r="E25" s="378">
        <f t="shared" ref="E25" si="1">SUM(E23:E24)</f>
        <v>0</v>
      </c>
      <c r="F25" s="378">
        <f t="shared" ref="F25" si="2">SUM(F23:F24)</f>
        <v>0</v>
      </c>
      <c r="G25" s="378">
        <f t="shared" ref="G25" si="3">SUM(G23:G24)</f>
        <v>4572.8119800000004</v>
      </c>
      <c r="H25" s="379">
        <f t="shared" ref="H25" si="4">SUM(H23:H24)</f>
        <v>1</v>
      </c>
      <c r="I25" s="378">
        <f t="shared" ref="I25" si="5">SUM(I23:I24)</f>
        <v>0</v>
      </c>
      <c r="J25" s="378">
        <f t="shared" ref="J25" ca="1" si="6">SUM(J23:J24)</f>
        <v>1208.5175490455269</v>
      </c>
      <c r="K25" s="378">
        <f t="shared" ref="K25" si="7">SUM(K23:K24)</f>
        <v>1947.5468231690425</v>
      </c>
      <c r="L25" s="378">
        <f t="shared" ref="L25" si="8">SUM(L23:L24)</f>
        <v>0</v>
      </c>
      <c r="M25" s="378">
        <f t="shared" ref="M25" si="9">SUM(M23:M24)</f>
        <v>0</v>
      </c>
      <c r="N25" s="378">
        <f t="shared" ref="N25" ca="1" si="10">SUM(N23:N24)</f>
        <v>3156.0643722145696</v>
      </c>
    </row>
    <row r="29" spans="2:14" x14ac:dyDescent="0.3">
      <c r="B29" s="67" t="s">
        <v>659</v>
      </c>
      <c r="N29" s="249"/>
    </row>
    <row r="30" spans="2:14" x14ac:dyDescent="0.3">
      <c r="B30" s="67"/>
      <c r="N30" s="53" t="s">
        <v>16</v>
      </c>
    </row>
    <row r="31" spans="2:14" x14ac:dyDescent="0.3">
      <c r="B31" s="451" t="s">
        <v>289</v>
      </c>
      <c r="C31" s="464" t="s">
        <v>302</v>
      </c>
      <c r="D31" s="464"/>
      <c r="E31" s="464"/>
      <c r="F31" s="464"/>
      <c r="G31" s="463" t="s">
        <v>303</v>
      </c>
      <c r="H31" s="463"/>
      <c r="I31" s="463"/>
      <c r="J31" s="543" t="s">
        <v>304</v>
      </c>
      <c r="K31" s="543"/>
      <c r="L31" s="543"/>
      <c r="M31" s="543"/>
      <c r="N31" s="543"/>
    </row>
    <row r="32" spans="2:14" ht="70" x14ac:dyDescent="0.3">
      <c r="B32" s="451"/>
      <c r="C32" s="407" t="s">
        <v>358</v>
      </c>
      <c r="D32" s="407" t="s">
        <v>356</v>
      </c>
      <c r="E32" s="407" t="s">
        <v>624</v>
      </c>
      <c r="F32" s="407" t="s">
        <v>357</v>
      </c>
      <c r="G32" s="407" t="s">
        <v>305</v>
      </c>
      <c r="H32" s="407" t="s">
        <v>625</v>
      </c>
      <c r="I32" s="407" t="s">
        <v>306</v>
      </c>
      <c r="J32" s="407" t="s">
        <v>307</v>
      </c>
      <c r="K32" s="407" t="s">
        <v>308</v>
      </c>
      <c r="L32" s="407" t="s">
        <v>626</v>
      </c>
      <c r="M32" s="407" t="s">
        <v>627</v>
      </c>
      <c r="N32" s="408" t="s">
        <v>282</v>
      </c>
    </row>
    <row r="33" spans="2:14" x14ac:dyDescent="0.3">
      <c r="B33" s="250"/>
      <c r="C33" s="251"/>
      <c r="D33" s="251"/>
      <c r="E33" s="251"/>
      <c r="F33" s="251"/>
      <c r="G33" s="251"/>
      <c r="H33" s="251"/>
      <c r="I33" s="251"/>
      <c r="J33" s="251"/>
      <c r="K33" s="251"/>
      <c r="L33" s="251"/>
      <c r="M33" s="251"/>
      <c r="N33" s="252"/>
    </row>
    <row r="34" spans="2:14" x14ac:dyDescent="0.3">
      <c r="B34" s="110" t="s">
        <v>639</v>
      </c>
      <c r="C34" s="330">
        <f ca="1">'F9.2'!C33</f>
        <v>1212.9263199689331</v>
      </c>
      <c r="D34" s="330">
        <f>'F9.2'!D33</f>
        <v>4.4106624094233338</v>
      </c>
      <c r="E34" s="330">
        <f>'F9.2'!E33</f>
        <v>0</v>
      </c>
      <c r="F34" s="330">
        <f>'F9.2'!F33</f>
        <v>0</v>
      </c>
      <c r="G34" s="330">
        <f>'F9.2'!G33</f>
        <v>4572.8119800000004</v>
      </c>
      <c r="H34" s="330">
        <f>'F9.2'!H33</f>
        <v>1</v>
      </c>
      <c r="I34" s="330">
        <f>'F9.2'!I33</f>
        <v>0</v>
      </c>
      <c r="J34" s="357">
        <f ca="1">C34</f>
        <v>1212.9263199689331</v>
      </c>
      <c r="K34" s="361">
        <f>G34*D34/10</f>
        <v>2016.9129905546688</v>
      </c>
      <c r="L34" s="115"/>
      <c r="M34" s="115"/>
      <c r="N34" s="360">
        <f ca="1">SUM(J34:M34)</f>
        <v>3229.8393105236019</v>
      </c>
    </row>
    <row r="35" spans="2:14" x14ac:dyDescent="0.3">
      <c r="B35" s="121"/>
      <c r="C35" s="121"/>
      <c r="D35" s="121"/>
      <c r="E35" s="121"/>
      <c r="F35" s="121"/>
      <c r="G35" s="121"/>
      <c r="H35" s="121"/>
      <c r="I35" s="121"/>
      <c r="J35" s="121"/>
      <c r="K35" s="121"/>
      <c r="L35" s="121"/>
      <c r="M35" s="121"/>
      <c r="N35" s="121"/>
    </row>
    <row r="36" spans="2:14" x14ac:dyDescent="0.3">
      <c r="B36" s="253" t="s">
        <v>282</v>
      </c>
      <c r="C36" s="378">
        <f ca="1">SUM(C34:C35)</f>
        <v>1212.9263199689331</v>
      </c>
      <c r="D36" s="378"/>
      <c r="E36" s="378">
        <f t="shared" ref="E36:N36" si="11">SUM(E34:E35)</f>
        <v>0</v>
      </c>
      <c r="F36" s="378">
        <f t="shared" si="11"/>
        <v>0</v>
      </c>
      <c r="G36" s="378">
        <f t="shared" si="11"/>
        <v>4572.8119800000004</v>
      </c>
      <c r="H36" s="379">
        <f t="shared" si="11"/>
        <v>1</v>
      </c>
      <c r="I36" s="378">
        <f t="shared" si="11"/>
        <v>0</v>
      </c>
      <c r="J36" s="378">
        <f t="shared" ca="1" si="11"/>
        <v>1212.9263199689331</v>
      </c>
      <c r="K36" s="378">
        <f t="shared" si="11"/>
        <v>2016.9129905546688</v>
      </c>
      <c r="L36" s="378">
        <f t="shared" si="11"/>
        <v>0</v>
      </c>
      <c r="M36" s="378">
        <f t="shared" si="11"/>
        <v>0</v>
      </c>
      <c r="N36" s="378">
        <f t="shared" ca="1" si="11"/>
        <v>3229.8393105236019</v>
      </c>
    </row>
    <row r="40" spans="2:14" x14ac:dyDescent="0.3">
      <c r="B40" s="67" t="s">
        <v>660</v>
      </c>
      <c r="N40" s="249"/>
    </row>
    <row r="41" spans="2:14" x14ac:dyDescent="0.3">
      <c r="B41" s="67"/>
      <c r="N41" s="53" t="s">
        <v>16</v>
      </c>
    </row>
    <row r="42" spans="2:14" x14ac:dyDescent="0.3">
      <c r="B42" s="451" t="s">
        <v>289</v>
      </c>
      <c r="C42" s="464" t="s">
        <v>302</v>
      </c>
      <c r="D42" s="464"/>
      <c r="E42" s="464"/>
      <c r="F42" s="464"/>
      <c r="G42" s="463" t="s">
        <v>303</v>
      </c>
      <c r="H42" s="463"/>
      <c r="I42" s="463"/>
      <c r="J42" s="543" t="s">
        <v>304</v>
      </c>
      <c r="K42" s="543"/>
      <c r="L42" s="543"/>
      <c r="M42" s="543"/>
      <c r="N42" s="543"/>
    </row>
    <row r="43" spans="2:14" ht="70" x14ac:dyDescent="0.3">
      <c r="B43" s="451"/>
      <c r="C43" s="407" t="s">
        <v>358</v>
      </c>
      <c r="D43" s="407" t="s">
        <v>356</v>
      </c>
      <c r="E43" s="407" t="s">
        <v>624</v>
      </c>
      <c r="F43" s="407" t="s">
        <v>357</v>
      </c>
      <c r="G43" s="407" t="s">
        <v>305</v>
      </c>
      <c r="H43" s="407" t="s">
        <v>625</v>
      </c>
      <c r="I43" s="407" t="s">
        <v>306</v>
      </c>
      <c r="J43" s="407" t="s">
        <v>307</v>
      </c>
      <c r="K43" s="407" t="s">
        <v>308</v>
      </c>
      <c r="L43" s="407" t="s">
        <v>626</v>
      </c>
      <c r="M43" s="407" t="s">
        <v>627</v>
      </c>
      <c r="N43" s="408" t="s">
        <v>282</v>
      </c>
    </row>
    <row r="44" spans="2:14" x14ac:dyDescent="0.3">
      <c r="B44" s="250"/>
      <c r="C44" s="251"/>
      <c r="D44" s="251"/>
      <c r="E44" s="251"/>
      <c r="F44" s="251"/>
      <c r="G44" s="251"/>
      <c r="H44" s="251"/>
      <c r="I44" s="251"/>
      <c r="J44" s="251"/>
      <c r="K44" s="251"/>
      <c r="L44" s="251"/>
      <c r="M44" s="251"/>
      <c r="N44" s="252"/>
    </row>
    <row r="45" spans="2:14" x14ac:dyDescent="0.3">
      <c r="B45" s="110" t="s">
        <v>639</v>
      </c>
      <c r="C45" s="330">
        <f ca="1">'F9.2'!C43</f>
        <v>1193.9387657830189</v>
      </c>
      <c r="D45" s="330">
        <f>'F9.2'!D43</f>
        <v>4.5691511186575289</v>
      </c>
      <c r="E45" s="330">
        <f>'F9.2'!E43</f>
        <v>0</v>
      </c>
      <c r="F45" s="330">
        <f>'F9.2'!F43</f>
        <v>0</v>
      </c>
      <c r="G45" s="330">
        <f>'F9.2'!G43</f>
        <v>4585.3402320000005</v>
      </c>
      <c r="H45" s="330">
        <f>'F9.2'!H43</f>
        <v>1</v>
      </c>
      <c r="I45" s="330">
        <f>'F9.2'!I43</f>
        <v>0</v>
      </c>
      <c r="J45" s="357">
        <f ca="1">C45</f>
        <v>1193.9387657830189</v>
      </c>
      <c r="K45" s="361">
        <f>G45*D45/10</f>
        <v>2095.1112450468177</v>
      </c>
      <c r="L45" s="115"/>
      <c r="M45" s="115"/>
      <c r="N45" s="360">
        <f ca="1">SUM(J45:M45)</f>
        <v>3289.0500108298365</v>
      </c>
    </row>
    <row r="46" spans="2:14" x14ac:dyDescent="0.3">
      <c r="B46" s="121"/>
      <c r="C46" s="121"/>
      <c r="D46" s="121"/>
      <c r="E46" s="121"/>
      <c r="F46" s="121"/>
      <c r="G46" s="121"/>
      <c r="H46" s="121"/>
      <c r="I46" s="121"/>
      <c r="J46" s="121"/>
      <c r="K46" s="121"/>
      <c r="L46" s="121"/>
      <c r="M46" s="121"/>
      <c r="N46" s="121"/>
    </row>
    <row r="47" spans="2:14" x14ac:dyDescent="0.3">
      <c r="B47" s="253" t="s">
        <v>282</v>
      </c>
      <c r="C47" s="378">
        <f ca="1">SUM(C45:C46)</f>
        <v>1193.9387657830189</v>
      </c>
      <c r="D47" s="378"/>
      <c r="E47" s="378">
        <f t="shared" ref="E47:N47" si="12">SUM(E45:E46)</f>
        <v>0</v>
      </c>
      <c r="F47" s="378">
        <f t="shared" si="12"/>
        <v>0</v>
      </c>
      <c r="G47" s="378">
        <f t="shared" si="12"/>
        <v>4585.3402320000005</v>
      </c>
      <c r="H47" s="379">
        <f t="shared" si="12"/>
        <v>1</v>
      </c>
      <c r="I47" s="378">
        <f t="shared" si="12"/>
        <v>0</v>
      </c>
      <c r="J47" s="378">
        <f t="shared" ca="1" si="12"/>
        <v>1193.9387657830189</v>
      </c>
      <c r="K47" s="378">
        <f t="shared" si="12"/>
        <v>2095.1112450468177</v>
      </c>
      <c r="L47" s="378">
        <f t="shared" si="12"/>
        <v>0</v>
      </c>
      <c r="M47" s="378">
        <f t="shared" si="12"/>
        <v>0</v>
      </c>
      <c r="N47" s="378">
        <f t="shared" ca="1" si="12"/>
        <v>3289.0500108298365</v>
      </c>
    </row>
    <row r="51" spans="2:14" x14ac:dyDescent="0.3">
      <c r="B51" s="67" t="s">
        <v>661</v>
      </c>
      <c r="N51" s="249"/>
    </row>
    <row r="52" spans="2:14" x14ac:dyDescent="0.3">
      <c r="B52" s="67"/>
      <c r="N52" s="53" t="s">
        <v>16</v>
      </c>
    </row>
    <row r="53" spans="2:14" x14ac:dyDescent="0.3">
      <c r="B53" s="451" t="s">
        <v>289</v>
      </c>
      <c r="C53" s="464" t="s">
        <v>302</v>
      </c>
      <c r="D53" s="464"/>
      <c r="E53" s="464"/>
      <c r="F53" s="464"/>
      <c r="G53" s="463" t="s">
        <v>303</v>
      </c>
      <c r="H53" s="463"/>
      <c r="I53" s="463"/>
      <c r="J53" s="543" t="s">
        <v>304</v>
      </c>
      <c r="K53" s="543"/>
      <c r="L53" s="543"/>
      <c r="M53" s="543"/>
      <c r="N53" s="543"/>
    </row>
    <row r="54" spans="2:14" ht="70" x14ac:dyDescent="0.3">
      <c r="B54" s="451"/>
      <c r="C54" s="407" t="s">
        <v>358</v>
      </c>
      <c r="D54" s="407" t="s">
        <v>356</v>
      </c>
      <c r="E54" s="407" t="s">
        <v>624</v>
      </c>
      <c r="F54" s="407" t="s">
        <v>357</v>
      </c>
      <c r="G54" s="407" t="s">
        <v>305</v>
      </c>
      <c r="H54" s="407" t="s">
        <v>625</v>
      </c>
      <c r="I54" s="407" t="s">
        <v>306</v>
      </c>
      <c r="J54" s="407" t="s">
        <v>307</v>
      </c>
      <c r="K54" s="407" t="s">
        <v>308</v>
      </c>
      <c r="L54" s="407" t="s">
        <v>626</v>
      </c>
      <c r="M54" s="407" t="s">
        <v>627</v>
      </c>
      <c r="N54" s="408" t="s">
        <v>282</v>
      </c>
    </row>
    <row r="55" spans="2:14" x14ac:dyDescent="0.3">
      <c r="B55" s="250"/>
      <c r="C55" s="251"/>
      <c r="D55" s="251"/>
      <c r="E55" s="251"/>
      <c r="F55" s="251"/>
      <c r="G55" s="251"/>
      <c r="H55" s="251"/>
      <c r="I55" s="251"/>
      <c r="J55" s="251"/>
      <c r="K55" s="251"/>
      <c r="L55" s="251"/>
      <c r="M55" s="251"/>
      <c r="N55" s="252"/>
    </row>
    <row r="56" spans="2:14" x14ac:dyDescent="0.3">
      <c r="B56" s="110" t="s">
        <v>639</v>
      </c>
      <c r="C56" s="330">
        <f ca="1">'F9.2'!C53</f>
        <v>1174.8804027017272</v>
      </c>
      <c r="D56" s="330">
        <f>'F9.2'!D53</f>
        <v>4.7372171172131905</v>
      </c>
      <c r="E56" s="330">
        <f>'F9.2'!E53</f>
        <v>0</v>
      </c>
      <c r="F56" s="330">
        <f>'F9.2'!F53</f>
        <v>0</v>
      </c>
      <c r="G56" s="330">
        <f>'F9.2'!G53</f>
        <v>4572.8119800000004</v>
      </c>
      <c r="H56" s="330">
        <f>'F9.2'!H53</f>
        <v>1</v>
      </c>
      <c r="I56" s="330">
        <f>'F9.2'!I53</f>
        <v>0</v>
      </c>
      <c r="J56" s="357">
        <f ca="1">C56</f>
        <v>1174.8804027017272</v>
      </c>
      <c r="K56" s="361">
        <f>G56*D56/10</f>
        <v>2166.2403185453541</v>
      </c>
      <c r="L56" s="115"/>
      <c r="M56" s="115"/>
      <c r="N56" s="360">
        <f ca="1">SUM(J56:M56)</f>
        <v>3341.1207212470813</v>
      </c>
    </row>
    <row r="57" spans="2:14" x14ac:dyDescent="0.3">
      <c r="B57" s="121"/>
      <c r="C57" s="121"/>
      <c r="D57" s="121"/>
      <c r="E57" s="121"/>
      <c r="F57" s="121"/>
      <c r="G57" s="121"/>
      <c r="H57" s="121"/>
      <c r="I57" s="121"/>
      <c r="J57" s="121"/>
      <c r="K57" s="121"/>
      <c r="L57" s="121"/>
      <c r="M57" s="121"/>
      <c r="N57" s="121"/>
    </row>
    <row r="58" spans="2:14" x14ac:dyDescent="0.3">
      <c r="B58" s="253" t="s">
        <v>282</v>
      </c>
      <c r="C58" s="378">
        <f ca="1">SUM(C56:C57)</f>
        <v>1174.8804027017272</v>
      </c>
      <c r="D58" s="378"/>
      <c r="E58" s="378">
        <f t="shared" ref="E58:N58" si="13">SUM(E56:E57)</f>
        <v>0</v>
      </c>
      <c r="F58" s="378">
        <f t="shared" si="13"/>
        <v>0</v>
      </c>
      <c r="G58" s="378">
        <f t="shared" si="13"/>
        <v>4572.8119800000004</v>
      </c>
      <c r="H58" s="379">
        <f t="shared" si="13"/>
        <v>1</v>
      </c>
      <c r="I58" s="378">
        <f t="shared" si="13"/>
        <v>0</v>
      </c>
      <c r="J58" s="378">
        <f t="shared" ca="1" si="13"/>
        <v>1174.8804027017272</v>
      </c>
      <c r="K58" s="378">
        <f t="shared" si="13"/>
        <v>2166.2403185453541</v>
      </c>
      <c r="L58" s="378">
        <f t="shared" si="13"/>
        <v>0</v>
      </c>
      <c r="M58" s="378">
        <f t="shared" si="13"/>
        <v>0</v>
      </c>
      <c r="N58" s="378">
        <f t="shared" ca="1" si="13"/>
        <v>3341.1207212470813</v>
      </c>
    </row>
    <row r="62" spans="2:14" x14ac:dyDescent="0.3">
      <c r="B62" s="67" t="s">
        <v>662</v>
      </c>
      <c r="N62" s="249"/>
    </row>
    <row r="63" spans="2:14" x14ac:dyDescent="0.3">
      <c r="B63" s="67"/>
      <c r="N63" s="53" t="s">
        <v>16</v>
      </c>
    </row>
    <row r="64" spans="2:14" x14ac:dyDescent="0.3">
      <c r="B64" s="451" t="s">
        <v>289</v>
      </c>
      <c r="C64" s="464" t="s">
        <v>302</v>
      </c>
      <c r="D64" s="464"/>
      <c r="E64" s="464"/>
      <c r="F64" s="464"/>
      <c r="G64" s="463" t="s">
        <v>303</v>
      </c>
      <c r="H64" s="463"/>
      <c r="I64" s="463"/>
      <c r="J64" s="543" t="s">
        <v>304</v>
      </c>
      <c r="K64" s="543"/>
      <c r="L64" s="543"/>
      <c r="M64" s="543"/>
      <c r="N64" s="543"/>
    </row>
    <row r="65" spans="2:14" ht="70" x14ac:dyDescent="0.3">
      <c r="B65" s="451"/>
      <c r="C65" s="407" t="s">
        <v>358</v>
      </c>
      <c r="D65" s="407" t="s">
        <v>356</v>
      </c>
      <c r="E65" s="407" t="s">
        <v>624</v>
      </c>
      <c r="F65" s="407" t="s">
        <v>357</v>
      </c>
      <c r="G65" s="407" t="s">
        <v>305</v>
      </c>
      <c r="H65" s="407" t="s">
        <v>625</v>
      </c>
      <c r="I65" s="407" t="s">
        <v>306</v>
      </c>
      <c r="J65" s="407" t="s">
        <v>307</v>
      </c>
      <c r="K65" s="407" t="s">
        <v>308</v>
      </c>
      <c r="L65" s="407" t="s">
        <v>626</v>
      </c>
      <c r="M65" s="407" t="s">
        <v>627</v>
      </c>
      <c r="N65" s="408" t="s">
        <v>282</v>
      </c>
    </row>
    <row r="66" spans="2:14" x14ac:dyDescent="0.3">
      <c r="B66" s="250"/>
      <c r="C66" s="251"/>
      <c r="D66" s="251"/>
      <c r="E66" s="251"/>
      <c r="F66" s="251"/>
      <c r="G66" s="251"/>
      <c r="H66" s="251"/>
      <c r="I66" s="251"/>
      <c r="J66" s="251"/>
      <c r="K66" s="251"/>
      <c r="L66" s="251"/>
      <c r="M66" s="251"/>
      <c r="N66" s="252"/>
    </row>
    <row r="67" spans="2:14" x14ac:dyDescent="0.3">
      <c r="B67" s="110" t="s">
        <v>639</v>
      </c>
      <c r="C67" s="330">
        <f ca="1">'F9.2'!C63</f>
        <v>1155.8677443282459</v>
      </c>
      <c r="D67" s="330">
        <f>'F9.2'!D63</f>
        <v>4.9119071704299655</v>
      </c>
      <c r="E67" s="330">
        <f>'F9.2'!E63</f>
        <v>0</v>
      </c>
      <c r="F67" s="330">
        <f>'F9.2'!F63</f>
        <v>0</v>
      </c>
      <c r="G67" s="330">
        <f>'F9.2'!G63</f>
        <v>4572.8119800000004</v>
      </c>
      <c r="H67" s="330">
        <f>'F9.2'!H63</f>
        <v>1</v>
      </c>
      <c r="I67" s="330">
        <f>'F9.2'!I63</f>
        <v>0</v>
      </c>
      <c r="J67" s="357">
        <f ca="1">C67</f>
        <v>1155.8677443282459</v>
      </c>
      <c r="K67" s="361">
        <f>G67*D67/10</f>
        <v>2246.1227953590051</v>
      </c>
      <c r="L67" s="115"/>
      <c r="M67" s="115"/>
      <c r="N67" s="360">
        <f ca="1">SUM(J67:M67)</f>
        <v>3401.9905396872509</v>
      </c>
    </row>
    <row r="68" spans="2:14" x14ac:dyDescent="0.3">
      <c r="B68" s="121"/>
      <c r="C68" s="121"/>
      <c r="D68" s="121"/>
      <c r="E68" s="121"/>
      <c r="F68" s="121"/>
      <c r="G68" s="121"/>
      <c r="H68" s="121"/>
      <c r="I68" s="121"/>
      <c r="J68" s="121"/>
      <c r="K68" s="121"/>
      <c r="L68" s="121"/>
      <c r="M68" s="121"/>
      <c r="N68" s="121"/>
    </row>
    <row r="69" spans="2:14" x14ac:dyDescent="0.3">
      <c r="B69" s="253" t="s">
        <v>282</v>
      </c>
      <c r="C69" s="378">
        <f ca="1">SUM(C67:C68)</f>
        <v>1155.8677443282459</v>
      </c>
      <c r="D69" s="378"/>
      <c r="E69" s="378">
        <f t="shared" ref="E69:N69" si="14">SUM(E67:E68)</f>
        <v>0</v>
      </c>
      <c r="F69" s="378">
        <f t="shared" si="14"/>
        <v>0</v>
      </c>
      <c r="G69" s="378">
        <f t="shared" si="14"/>
        <v>4572.8119800000004</v>
      </c>
      <c r="H69" s="379">
        <f t="shared" si="14"/>
        <v>1</v>
      </c>
      <c r="I69" s="378">
        <f t="shared" si="14"/>
        <v>0</v>
      </c>
      <c r="J69" s="378">
        <f t="shared" ca="1" si="14"/>
        <v>1155.8677443282459</v>
      </c>
      <c r="K69" s="378">
        <f t="shared" si="14"/>
        <v>2246.1227953590051</v>
      </c>
      <c r="L69" s="378">
        <f t="shared" si="14"/>
        <v>0</v>
      </c>
      <c r="M69" s="378">
        <f t="shared" si="14"/>
        <v>0</v>
      </c>
      <c r="N69" s="378">
        <f t="shared" ca="1" si="14"/>
        <v>3401.9905396872509</v>
      </c>
    </row>
  </sheetData>
  <mergeCells count="28">
    <mergeCell ref="B20:B21"/>
    <mergeCell ref="C20:F20"/>
    <mergeCell ref="G20:I20"/>
    <mergeCell ref="J20:N20"/>
    <mergeCell ref="B2:N2"/>
    <mergeCell ref="B3:N3"/>
    <mergeCell ref="B4:N4"/>
    <mergeCell ref="B9:B10"/>
    <mergeCell ref="C9:F9"/>
    <mergeCell ref="G9:I9"/>
    <mergeCell ref="J9:N9"/>
    <mergeCell ref="B5:N5"/>
    <mergeCell ref="B31:B32"/>
    <mergeCell ref="C31:F31"/>
    <mergeCell ref="G31:I31"/>
    <mergeCell ref="J31:N31"/>
    <mergeCell ref="B42:B43"/>
    <mergeCell ref="C42:F42"/>
    <mergeCell ref="G42:I42"/>
    <mergeCell ref="J42:N42"/>
    <mergeCell ref="B53:B54"/>
    <mergeCell ref="C53:F53"/>
    <mergeCell ref="G53:I53"/>
    <mergeCell ref="J53:N53"/>
    <mergeCell ref="B64:B65"/>
    <mergeCell ref="C64:F64"/>
    <mergeCell ref="G64:I64"/>
    <mergeCell ref="J64:N64"/>
  </mergeCells>
  <pageMargins left="0.7" right="0.7" top="0.75" bottom="0.75" header="0.3" footer="0.3"/>
  <pageSetup paperSize="9" scale="36"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2:N22"/>
  <sheetViews>
    <sheetView showGridLines="0" view="pageBreakPreview" zoomScale="70" zoomScaleNormal="75" zoomScaleSheetLayoutView="70" workbookViewId="0">
      <selection activeCell="F7" sqref="F7:I8"/>
    </sheetView>
  </sheetViews>
  <sheetFormatPr defaultColWidth="9.1796875" defaultRowHeight="14" x14ac:dyDescent="0.25"/>
  <cols>
    <col min="1" max="1" width="6.26953125" style="24" customWidth="1"/>
    <col min="2" max="2" width="6.1796875" style="24" customWidth="1"/>
    <col min="3" max="3" width="53.7265625" style="24" bestFit="1" customWidth="1"/>
    <col min="4" max="4" width="15.7265625" style="24" customWidth="1"/>
    <col min="5" max="13" width="18.54296875" style="24" customWidth="1"/>
    <col min="14" max="14" width="15.7265625" style="24" customWidth="1"/>
    <col min="15" max="16384" width="9.1796875" style="24"/>
  </cols>
  <sheetData>
    <row r="2" spans="2:14" x14ac:dyDescent="0.25">
      <c r="B2" s="447" t="s">
        <v>628</v>
      </c>
      <c r="C2" s="447"/>
      <c r="D2" s="447"/>
      <c r="E2" s="447"/>
      <c r="F2" s="447"/>
      <c r="G2" s="447"/>
      <c r="H2" s="447"/>
      <c r="I2" s="447"/>
      <c r="J2" s="447"/>
      <c r="K2" s="118"/>
      <c r="L2" s="118"/>
      <c r="M2" s="118"/>
      <c r="N2" s="118"/>
    </row>
    <row r="3" spans="2:14" s="9" customFormat="1" x14ac:dyDescent="0.3">
      <c r="B3" s="554" t="s">
        <v>570</v>
      </c>
      <c r="C3" s="554"/>
      <c r="D3" s="554"/>
      <c r="E3" s="554"/>
      <c r="F3" s="554"/>
      <c r="G3" s="554"/>
      <c r="H3" s="554"/>
      <c r="I3" s="554"/>
      <c r="J3" s="554"/>
      <c r="K3" s="118"/>
      <c r="L3" s="118"/>
      <c r="M3" s="118"/>
      <c r="N3" s="118"/>
    </row>
    <row r="4" spans="2:14" s="9" customFormat="1" x14ac:dyDescent="0.3">
      <c r="B4" s="448" t="s">
        <v>333</v>
      </c>
      <c r="C4" s="448"/>
      <c r="D4" s="448"/>
      <c r="E4" s="448"/>
      <c r="F4" s="448"/>
      <c r="G4" s="448"/>
      <c r="H4" s="448"/>
      <c r="I4" s="448"/>
      <c r="J4" s="448"/>
      <c r="K4" s="118"/>
      <c r="L4" s="118"/>
      <c r="M4" s="118"/>
      <c r="N4" s="118"/>
    </row>
    <row r="5" spans="2:14" x14ac:dyDescent="0.25">
      <c r="B5" s="447" t="s">
        <v>629</v>
      </c>
      <c r="C5" s="447"/>
      <c r="D5" s="447"/>
      <c r="E5" s="447"/>
      <c r="F5" s="447"/>
      <c r="G5" s="447"/>
      <c r="H5" s="447"/>
      <c r="I5" s="447"/>
      <c r="J5" s="447"/>
    </row>
    <row r="6" spans="2:14" x14ac:dyDescent="0.25">
      <c r="E6" s="30" t="s">
        <v>16</v>
      </c>
      <c r="F6" s="30"/>
      <c r="G6" s="30"/>
      <c r="H6" s="30"/>
      <c r="I6" s="30"/>
    </row>
    <row r="7" spans="2:14" ht="15" customHeight="1" x14ac:dyDescent="0.25">
      <c r="B7" s="452" t="s">
        <v>351</v>
      </c>
      <c r="C7" s="452" t="s">
        <v>49</v>
      </c>
      <c r="D7" s="298" t="str">
        <f>'F1'!$E$7</f>
        <v>FY 2024-25</v>
      </c>
      <c r="E7" s="298" t="str">
        <f>'F1'!$F$7</f>
        <v>FY 2025-26</v>
      </c>
      <c r="F7" s="298" t="str">
        <f>'F1'!$G$7</f>
        <v>FY 2026-27</v>
      </c>
      <c r="G7" s="298" t="str">
        <f>'F1'!$H$7</f>
        <v>FY 2027-28</v>
      </c>
      <c r="H7" s="298" t="str">
        <f>'F1'!$I$7</f>
        <v>FY 2028-29</v>
      </c>
      <c r="I7" s="298" t="str">
        <f>'F1'!$J$7</f>
        <v>FY 2029-30</v>
      </c>
      <c r="J7" s="452" t="s">
        <v>40</v>
      </c>
    </row>
    <row r="8" spans="2:14" ht="28" x14ac:dyDescent="0.25">
      <c r="B8" s="513"/>
      <c r="C8" s="513"/>
      <c r="D8" s="285" t="s">
        <v>569</v>
      </c>
      <c r="E8" s="285" t="s">
        <v>569</v>
      </c>
      <c r="F8" s="400" t="str">
        <f>'F1'!$G$8</f>
        <v>Projection</v>
      </c>
      <c r="G8" s="400" t="str">
        <f>'F1'!$H$8</f>
        <v>Projection</v>
      </c>
      <c r="H8" s="400" t="str">
        <f>'F1'!$I$8</f>
        <v>Projection</v>
      </c>
      <c r="I8" s="400" t="str">
        <f>'F1'!$J$8</f>
        <v>Projection</v>
      </c>
      <c r="J8" s="452"/>
    </row>
    <row r="9" spans="2:14" x14ac:dyDescent="0.25">
      <c r="B9" s="102"/>
      <c r="C9" s="105"/>
      <c r="D9" s="32"/>
      <c r="E9" s="32"/>
      <c r="F9" s="32"/>
      <c r="G9" s="32"/>
      <c r="H9" s="32"/>
      <c r="I9" s="32"/>
      <c r="J9" s="32"/>
    </row>
    <row r="10" spans="2:14" x14ac:dyDescent="0.25">
      <c r="B10" s="102">
        <v>1</v>
      </c>
      <c r="C10" s="105"/>
      <c r="D10" s="492" t="s">
        <v>641</v>
      </c>
      <c r="E10" s="493"/>
      <c r="F10" s="390"/>
      <c r="G10" s="390"/>
      <c r="H10" s="390"/>
      <c r="I10" s="390"/>
      <c r="J10" s="32"/>
    </row>
    <row r="11" spans="2:14" x14ac:dyDescent="0.25">
      <c r="B11" s="106">
        <v>2</v>
      </c>
      <c r="C11" s="105"/>
      <c r="D11" s="494"/>
      <c r="E11" s="495"/>
      <c r="F11" s="391"/>
      <c r="G11" s="391"/>
      <c r="H11" s="391"/>
      <c r="I11" s="391"/>
      <c r="J11" s="32"/>
    </row>
    <row r="12" spans="2:14" x14ac:dyDescent="0.25">
      <c r="B12" s="106">
        <v>3</v>
      </c>
      <c r="C12" s="105"/>
      <c r="D12" s="494"/>
      <c r="E12" s="495"/>
      <c r="F12" s="391"/>
      <c r="G12" s="391"/>
      <c r="H12" s="391"/>
      <c r="I12" s="391"/>
      <c r="J12" s="32"/>
    </row>
    <row r="13" spans="2:14" x14ac:dyDescent="0.25">
      <c r="B13" s="106">
        <v>4</v>
      </c>
      <c r="C13" s="105"/>
      <c r="D13" s="494"/>
      <c r="E13" s="495"/>
      <c r="F13" s="391"/>
      <c r="G13" s="391"/>
      <c r="H13" s="391"/>
      <c r="I13" s="391"/>
      <c r="J13" s="32"/>
    </row>
    <row r="14" spans="2:14" x14ac:dyDescent="0.25">
      <c r="B14" s="106">
        <v>5</v>
      </c>
      <c r="C14" s="105"/>
      <c r="D14" s="494"/>
      <c r="E14" s="495"/>
      <c r="F14" s="391"/>
      <c r="G14" s="391"/>
      <c r="H14" s="391"/>
      <c r="I14" s="391"/>
      <c r="J14" s="32"/>
    </row>
    <row r="15" spans="2:14" x14ac:dyDescent="0.25">
      <c r="B15" s="106"/>
      <c r="C15" s="105"/>
      <c r="D15" s="494"/>
      <c r="E15" s="495"/>
      <c r="F15" s="391"/>
      <c r="G15" s="391"/>
      <c r="H15" s="391"/>
      <c r="I15" s="391"/>
      <c r="J15" s="32"/>
    </row>
    <row r="16" spans="2:14" x14ac:dyDescent="0.25">
      <c r="B16" s="106"/>
      <c r="C16" s="105"/>
      <c r="D16" s="494"/>
      <c r="E16" s="495"/>
      <c r="F16" s="391"/>
      <c r="G16" s="391"/>
      <c r="H16" s="391"/>
      <c r="I16" s="391"/>
      <c r="J16" s="32"/>
    </row>
    <row r="17" spans="2:10" x14ac:dyDescent="0.25">
      <c r="B17" s="106"/>
      <c r="C17" s="107"/>
      <c r="D17" s="494"/>
      <c r="E17" s="495"/>
      <c r="F17" s="391"/>
      <c r="G17" s="391"/>
      <c r="H17" s="391"/>
      <c r="I17" s="391"/>
      <c r="J17" s="32"/>
    </row>
    <row r="18" spans="2:10" x14ac:dyDescent="0.25">
      <c r="B18" s="106"/>
      <c r="C18" s="105"/>
      <c r="D18" s="494"/>
      <c r="E18" s="495"/>
      <c r="F18" s="391"/>
      <c r="G18" s="391"/>
      <c r="H18" s="391"/>
      <c r="I18" s="391"/>
      <c r="J18" s="32"/>
    </row>
    <row r="19" spans="2:10" x14ac:dyDescent="0.25">
      <c r="B19" s="106"/>
      <c r="C19" s="105"/>
      <c r="D19" s="494"/>
      <c r="E19" s="495"/>
      <c r="F19" s="391"/>
      <c r="G19" s="391"/>
      <c r="H19" s="391"/>
      <c r="I19" s="391"/>
      <c r="J19" s="32"/>
    </row>
    <row r="20" spans="2:10" x14ac:dyDescent="0.25">
      <c r="B20" s="106"/>
      <c r="C20" s="105"/>
      <c r="D20" s="494"/>
      <c r="E20" s="495"/>
      <c r="F20" s="391"/>
      <c r="G20" s="391"/>
      <c r="H20" s="391"/>
      <c r="I20" s="391"/>
      <c r="J20" s="32"/>
    </row>
    <row r="21" spans="2:10" x14ac:dyDescent="0.25">
      <c r="B21" s="106"/>
      <c r="C21" s="105"/>
      <c r="D21" s="496"/>
      <c r="E21" s="497"/>
      <c r="F21" s="392"/>
      <c r="G21" s="392"/>
      <c r="H21" s="392"/>
      <c r="I21" s="392"/>
      <c r="J21" s="32"/>
    </row>
    <row r="22" spans="2:10" s="30" customFormat="1" x14ac:dyDescent="0.25">
      <c r="B22" s="119"/>
      <c r="C22" s="107" t="s">
        <v>5</v>
      </c>
      <c r="D22" s="35"/>
      <c r="E22" s="35"/>
      <c r="F22" s="35"/>
      <c r="G22" s="35"/>
      <c r="H22" s="35"/>
      <c r="I22" s="35"/>
      <c r="J22" s="35"/>
    </row>
  </sheetData>
  <mergeCells count="8">
    <mergeCell ref="D10:E21"/>
    <mergeCell ref="B2:J2"/>
    <mergeCell ref="B3:J3"/>
    <mergeCell ref="B4:J4"/>
    <mergeCell ref="B5:J5"/>
    <mergeCell ref="J7:J8"/>
    <mergeCell ref="B7:B8"/>
    <mergeCell ref="C7:C8"/>
  </mergeCells>
  <pageMargins left="1.02" right="0.25" top="1" bottom="1" header="0.25" footer="0.25"/>
  <pageSetup paperSize="9" scale="70" orientation="landscape" r:id="rId1"/>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6"/>
  <sheetViews>
    <sheetView zoomScale="75" zoomScaleNormal="75" zoomScaleSheetLayoutView="75" workbookViewId="0">
      <selection activeCell="C9" sqref="C9"/>
    </sheetView>
  </sheetViews>
  <sheetFormatPr defaultColWidth="9.1796875" defaultRowHeight="14" x14ac:dyDescent="0.3"/>
  <cols>
    <col min="1" max="1" width="7.08984375" style="177" bestFit="1" customWidth="1"/>
    <col min="2" max="2" width="35.453125" style="177" bestFit="1" customWidth="1"/>
    <col min="3" max="8" width="11.453125" style="177" bestFit="1" customWidth="1"/>
    <col min="9" max="9" width="12.54296875" style="177" customWidth="1"/>
    <col min="10" max="16384" width="9.1796875" style="177"/>
  </cols>
  <sheetData>
    <row r="1" spans="1:9" x14ac:dyDescent="0.3">
      <c r="A1" s="174"/>
      <c r="B1" s="175"/>
    </row>
    <row r="2" spans="1:9" x14ac:dyDescent="0.3">
      <c r="A2" s="453" t="s">
        <v>628</v>
      </c>
      <c r="B2" s="454"/>
      <c r="C2" s="454"/>
      <c r="D2" s="454"/>
      <c r="E2" s="454"/>
      <c r="F2" s="454"/>
      <c r="G2" s="454"/>
      <c r="H2" s="454"/>
      <c r="I2" s="454"/>
    </row>
    <row r="3" spans="1:9" x14ac:dyDescent="0.3">
      <c r="A3" s="455" t="s">
        <v>570</v>
      </c>
      <c r="B3" s="454"/>
      <c r="C3" s="454"/>
      <c r="D3" s="454"/>
      <c r="E3" s="454"/>
      <c r="F3" s="454"/>
      <c r="G3" s="454"/>
      <c r="H3" s="454"/>
      <c r="I3" s="454"/>
    </row>
    <row r="4" spans="1:9" x14ac:dyDescent="0.3">
      <c r="A4" s="455" t="s">
        <v>382</v>
      </c>
      <c r="B4" s="454"/>
      <c r="C4" s="454"/>
      <c r="D4" s="454"/>
      <c r="E4" s="454"/>
      <c r="F4" s="454"/>
      <c r="G4" s="454"/>
      <c r="H4" s="454"/>
      <c r="I4" s="454"/>
    </row>
    <row r="5" spans="1:9" x14ac:dyDescent="0.3">
      <c r="A5" s="455" t="s">
        <v>629</v>
      </c>
      <c r="B5" s="454"/>
      <c r="C5" s="454"/>
      <c r="D5" s="454"/>
      <c r="E5" s="454"/>
      <c r="F5" s="454"/>
      <c r="G5" s="454"/>
      <c r="H5" s="454"/>
      <c r="I5" s="454"/>
    </row>
    <row r="6" spans="1:9" s="243" customFormat="1" ht="36" customHeight="1" x14ac:dyDescent="0.3">
      <c r="A6" s="178"/>
      <c r="B6" s="176"/>
      <c r="C6" s="177"/>
      <c r="D6" s="182"/>
      <c r="E6" s="182"/>
      <c r="F6" s="182"/>
      <c r="G6" s="182"/>
      <c r="H6" s="182"/>
      <c r="I6" s="177"/>
    </row>
    <row r="7" spans="1:9" s="243" customFormat="1" x14ac:dyDescent="0.25">
      <c r="A7" s="456" t="s">
        <v>351</v>
      </c>
      <c r="B7" s="460" t="s">
        <v>49</v>
      </c>
      <c r="C7" s="297" t="s">
        <v>507</v>
      </c>
      <c r="D7" s="297" t="s">
        <v>653</v>
      </c>
      <c r="E7" s="297" t="str">
        <f>'F1'!G7</f>
        <v>FY 2026-27</v>
      </c>
      <c r="F7" s="297" t="str">
        <f>'F1'!H7</f>
        <v>FY 2027-28</v>
      </c>
      <c r="G7" s="297" t="str">
        <f>'F1'!I7</f>
        <v>FY 2028-29</v>
      </c>
      <c r="H7" s="297" t="str">
        <f>'F1'!J7</f>
        <v>FY 2029-30</v>
      </c>
      <c r="I7" s="458" t="s">
        <v>40</v>
      </c>
    </row>
    <row r="8" spans="1:9" s="243" customFormat="1" x14ac:dyDescent="0.25">
      <c r="A8" s="457"/>
      <c r="B8" s="461"/>
      <c r="C8" s="286" t="str">
        <f>'F1'!E8</f>
        <v>Projection</v>
      </c>
      <c r="D8" s="385" t="str">
        <f>'F1'!F8</f>
        <v>Projection</v>
      </c>
      <c r="E8" s="385" t="str">
        <f>'F1'!G8</f>
        <v>Projection</v>
      </c>
      <c r="F8" s="385" t="str">
        <f>'F1'!H8</f>
        <v>Projection</v>
      </c>
      <c r="G8" s="385" t="str">
        <f>'F1'!I8</f>
        <v>Projection</v>
      </c>
      <c r="H8" s="385" t="str">
        <f>'F1'!J8</f>
        <v>Projection</v>
      </c>
      <c r="I8" s="459"/>
    </row>
    <row r="9" spans="1:9" s="243" customFormat="1" x14ac:dyDescent="0.25">
      <c r="A9" s="183">
        <v>1</v>
      </c>
      <c r="B9" s="181" t="s">
        <v>547</v>
      </c>
      <c r="C9" s="370">
        <f ca="1">'F1'!E22-'F1'!E9</f>
        <v>179.71346976553008</v>
      </c>
      <c r="D9" s="370">
        <f ca="1">'F1'!F22-'F1'!F9</f>
        <v>1208.5175490455269</v>
      </c>
      <c r="E9" s="370">
        <f ca="1">'F1'!G22-'F1'!G9</f>
        <v>1212.9263199689331</v>
      </c>
      <c r="F9" s="370">
        <f ca="1">'F1'!H22-'F1'!H9</f>
        <v>1193.9387657830189</v>
      </c>
      <c r="G9" s="370">
        <f ca="1">'F1'!I22-'F1'!I9</f>
        <v>1174.8804027017272</v>
      </c>
      <c r="H9" s="370">
        <f ca="1">'F1'!J22-'F1'!J9</f>
        <v>1155.8677443282459</v>
      </c>
      <c r="I9" s="179"/>
    </row>
    <row r="10" spans="1:9" s="243" customFormat="1" x14ac:dyDescent="0.25">
      <c r="A10" s="180"/>
      <c r="B10" s="32"/>
      <c r="C10" s="179"/>
      <c r="D10" s="179"/>
      <c r="E10" s="179"/>
      <c r="F10" s="179"/>
      <c r="G10" s="179"/>
      <c r="H10" s="179"/>
      <c r="I10" s="179"/>
    </row>
    <row r="11" spans="1:9" s="187" customFormat="1" x14ac:dyDescent="0.3">
      <c r="A11" s="184">
        <v>2</v>
      </c>
      <c r="B11" s="185" t="s">
        <v>425</v>
      </c>
      <c r="C11" s="371">
        <f>'F2.2'!E123</f>
        <v>3.5070872316104684</v>
      </c>
      <c r="D11" s="371">
        <f>'F2.2'!F123</f>
        <v>4.2589698235724143</v>
      </c>
      <c r="E11" s="371">
        <f>'F2.2'!G123</f>
        <v>4.4106624094233338</v>
      </c>
      <c r="F11" s="371">
        <f>'F2.2'!H123</f>
        <v>4.5691511186575289</v>
      </c>
      <c r="G11" s="371">
        <f>'F2.2'!I123</f>
        <v>4.7372171172131905</v>
      </c>
      <c r="H11" s="371">
        <f>'F2.2'!J123</f>
        <v>4.9119071704299655</v>
      </c>
      <c r="I11" s="186"/>
    </row>
    <row r="12" spans="1:9" s="243" customFormat="1" x14ac:dyDescent="0.25">
      <c r="A12" s="180"/>
      <c r="B12" s="32"/>
      <c r="C12" s="179"/>
      <c r="D12" s="179"/>
      <c r="E12" s="179"/>
      <c r="F12" s="179"/>
      <c r="G12" s="179"/>
      <c r="H12" s="179"/>
      <c r="I12" s="179"/>
    </row>
    <row r="13" spans="1:9" ht="17.25" customHeight="1" x14ac:dyDescent="0.3">
      <c r="A13" s="184">
        <v>3</v>
      </c>
      <c r="B13" s="185" t="s">
        <v>713</v>
      </c>
      <c r="C13" s="372">
        <f>'F2.2'!E125</f>
        <v>0</v>
      </c>
      <c r="D13" s="372">
        <f>'F2.2'!F125</f>
        <v>4.5642322305801508E-2</v>
      </c>
      <c r="E13" s="372">
        <f>'F2.2'!G125</f>
        <v>6.0800903801523906E-2</v>
      </c>
      <c r="F13" s="372">
        <f>'F2.2'!H125</f>
        <v>6.0800903801523913E-2</v>
      </c>
      <c r="G13" s="372">
        <f>'F2.2'!I125</f>
        <v>6.0800903801523906E-2</v>
      </c>
      <c r="H13" s="372">
        <f>'F2.2'!J125</f>
        <v>6.0800903801523906E-2</v>
      </c>
      <c r="I13" s="186"/>
    </row>
    <row r="14" spans="1:9" s="243" customFormat="1" ht="17.5" customHeight="1" x14ac:dyDescent="0.25">
      <c r="A14" s="566"/>
      <c r="B14" s="566"/>
      <c r="C14" s="179"/>
      <c r="D14" s="179"/>
      <c r="E14" s="179"/>
      <c r="F14" s="179"/>
      <c r="G14" s="179"/>
      <c r="H14" s="179"/>
      <c r="I14" s="179"/>
    </row>
    <row r="15" spans="1:9" x14ac:dyDescent="0.3">
      <c r="A15" s="567" t="s">
        <v>715</v>
      </c>
      <c r="B15" s="567" t="s">
        <v>714</v>
      </c>
      <c r="C15" s="568">
        <f>C11+C13</f>
        <v>3.5070872316104684</v>
      </c>
      <c r="D15" s="568">
        <f t="shared" ref="D15:H15" si="0">D11+D13</f>
        <v>4.3046121458782158</v>
      </c>
      <c r="E15" s="568">
        <f t="shared" si="0"/>
        <v>4.4714633132248576</v>
      </c>
      <c r="F15" s="568">
        <f t="shared" si="0"/>
        <v>4.6299520224590527</v>
      </c>
      <c r="G15" s="568">
        <f t="shared" si="0"/>
        <v>4.7980180210147143</v>
      </c>
      <c r="H15" s="568">
        <f t="shared" si="0"/>
        <v>4.9727080742314893</v>
      </c>
      <c r="I15" s="567"/>
    </row>
    <row r="16" spans="1:9" x14ac:dyDescent="0.3">
      <c r="A16" s="176"/>
      <c r="B16" s="176"/>
    </row>
  </sheetData>
  <mergeCells count="7">
    <mergeCell ref="A2:I2"/>
    <mergeCell ref="A3:I3"/>
    <mergeCell ref="A4:I4"/>
    <mergeCell ref="A7:A8"/>
    <mergeCell ref="A5:I5"/>
    <mergeCell ref="I7:I8"/>
    <mergeCell ref="B7:B8"/>
  </mergeCells>
  <pageMargins left="0.74803149606299213" right="0.74803149606299213" top="0.98425196850393704" bottom="0.98425196850393704" header="0.51181102362204722" footer="0.51181102362204722"/>
  <pageSetup scale="99" orientation="landscape" horizontalDpi="300" verticalDpi="300" r:id="rId1"/>
  <headerFooter alignWithMargins="0">
    <oddHeader>&amp;A</oddHeader>
    <oddFooter>&amp;L&amp;F&amp;C&amp;P/&amp;N&amp;R&amp;D&amp;T</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J23"/>
  <sheetViews>
    <sheetView showGridLines="0" view="pageBreakPreview" zoomScale="60" zoomScaleNormal="75" workbookViewId="0">
      <selection activeCell="F7" sqref="F7:I8"/>
    </sheetView>
  </sheetViews>
  <sheetFormatPr defaultColWidth="9.1796875" defaultRowHeight="14" x14ac:dyDescent="0.3"/>
  <cols>
    <col min="1" max="1" width="4.1796875" style="9" customWidth="1"/>
    <col min="2" max="2" width="6.26953125" style="9" customWidth="1"/>
    <col min="3" max="3" width="61.7265625" style="9" customWidth="1"/>
    <col min="4" max="10" width="15.7265625" style="9" customWidth="1"/>
    <col min="11" max="16384" width="9.1796875" style="9"/>
  </cols>
  <sheetData>
    <row r="1" spans="2:10" x14ac:dyDescent="0.3">
      <c r="B1" s="56"/>
    </row>
    <row r="2" spans="2:10" x14ac:dyDescent="0.3">
      <c r="B2" s="448" t="s">
        <v>628</v>
      </c>
      <c r="C2" s="558"/>
      <c r="D2" s="558"/>
      <c r="E2" s="558"/>
      <c r="F2" s="558"/>
      <c r="G2" s="558"/>
      <c r="H2" s="558"/>
      <c r="I2" s="558"/>
      <c r="J2" s="558"/>
    </row>
    <row r="3" spans="2:10" x14ac:dyDescent="0.3">
      <c r="B3" s="448" t="s">
        <v>570</v>
      </c>
      <c r="C3" s="558"/>
      <c r="D3" s="558"/>
      <c r="E3" s="558"/>
      <c r="F3" s="558"/>
      <c r="G3" s="558"/>
      <c r="H3" s="558"/>
      <c r="I3" s="558"/>
      <c r="J3" s="558"/>
    </row>
    <row r="4" spans="2:10" s="77" customFormat="1" x14ac:dyDescent="0.3">
      <c r="B4" s="455" t="s">
        <v>330</v>
      </c>
      <c r="C4" s="559"/>
      <c r="D4" s="559"/>
      <c r="E4" s="559"/>
      <c r="F4" s="559"/>
      <c r="G4" s="559"/>
      <c r="H4" s="559"/>
      <c r="I4" s="559"/>
      <c r="J4" s="559"/>
    </row>
    <row r="5" spans="2:10" x14ac:dyDescent="0.3">
      <c r="B5" s="455" t="s">
        <v>629</v>
      </c>
      <c r="C5" s="559"/>
      <c r="D5" s="559"/>
      <c r="E5" s="559"/>
      <c r="F5" s="559"/>
      <c r="G5" s="559"/>
      <c r="H5" s="559"/>
      <c r="I5" s="559"/>
      <c r="J5" s="559"/>
    </row>
    <row r="6" spans="2:10" x14ac:dyDescent="0.3">
      <c r="C6" s="63"/>
      <c r="E6" s="30" t="s">
        <v>16</v>
      </c>
      <c r="F6" s="30"/>
      <c r="G6" s="30"/>
      <c r="H6" s="30"/>
      <c r="I6" s="30"/>
    </row>
    <row r="7" spans="2:10" s="44" customFormat="1" ht="17.25" customHeight="1" x14ac:dyDescent="0.3">
      <c r="B7" s="489" t="s">
        <v>351</v>
      </c>
      <c r="C7" s="489" t="s">
        <v>49</v>
      </c>
      <c r="D7" s="298" t="str">
        <f>'F1'!$E$7</f>
        <v>FY 2024-25</v>
      </c>
      <c r="E7" s="298" t="str">
        <f>'F1'!$F$7</f>
        <v>FY 2025-26</v>
      </c>
      <c r="F7" s="298" t="str">
        <f>'F1'!$G$7</f>
        <v>FY 2026-27</v>
      </c>
      <c r="G7" s="298" t="str">
        <f>'F1'!$H$7</f>
        <v>FY 2027-28</v>
      </c>
      <c r="H7" s="298" t="str">
        <f>'F1'!$I$7</f>
        <v>FY 2028-29</v>
      </c>
      <c r="I7" s="298" t="str">
        <f>'F1'!$J$7</f>
        <v>FY 2029-30</v>
      </c>
      <c r="J7" s="452" t="s">
        <v>40</v>
      </c>
    </row>
    <row r="8" spans="2:10" s="45" customFormat="1" ht="28" x14ac:dyDescent="0.25">
      <c r="B8" s="560"/>
      <c r="C8" s="560"/>
      <c r="D8" s="285" t="s">
        <v>569</v>
      </c>
      <c r="E8" s="285" t="s">
        <v>569</v>
      </c>
      <c r="F8" s="400" t="str">
        <f>'F1'!$G$8</f>
        <v>Projection</v>
      </c>
      <c r="G8" s="400" t="str">
        <f>'F1'!$H$8</f>
        <v>Projection</v>
      </c>
      <c r="H8" s="400" t="str">
        <f>'F1'!$I$8</f>
        <v>Projection</v>
      </c>
      <c r="I8" s="400" t="str">
        <f>'F1'!$J$8</f>
        <v>Projection</v>
      </c>
      <c r="J8" s="452"/>
    </row>
    <row r="9" spans="2:10" s="14" customFormat="1" ht="15.75" customHeight="1" x14ac:dyDescent="0.3">
      <c r="B9" s="94">
        <v>1</v>
      </c>
      <c r="C9" s="120" t="s">
        <v>472</v>
      </c>
      <c r="D9" s="492" t="s">
        <v>652</v>
      </c>
      <c r="E9" s="493"/>
      <c r="F9" s="390"/>
      <c r="G9" s="390"/>
      <c r="H9" s="390"/>
      <c r="I9" s="390"/>
      <c r="J9" s="555" t="s">
        <v>642</v>
      </c>
    </row>
    <row r="10" spans="2:10" s="14" customFormat="1" ht="15.75" customHeight="1" x14ac:dyDescent="0.3">
      <c r="B10" s="94">
        <f>B9+1</f>
        <v>2</v>
      </c>
      <c r="C10" s="78" t="s">
        <v>471</v>
      </c>
      <c r="D10" s="494"/>
      <c r="E10" s="495"/>
      <c r="F10" s="391"/>
      <c r="G10" s="391"/>
      <c r="H10" s="391"/>
      <c r="I10" s="391"/>
      <c r="J10" s="556"/>
    </row>
    <row r="11" spans="2:10" s="14" customFormat="1" ht="15.75" customHeight="1" x14ac:dyDescent="0.3">
      <c r="B11" s="94">
        <f t="shared" ref="B11:B21" si="0">B10+1</f>
        <v>3</v>
      </c>
      <c r="C11" s="79" t="s">
        <v>336</v>
      </c>
      <c r="D11" s="494"/>
      <c r="E11" s="495"/>
      <c r="F11" s="391"/>
      <c r="G11" s="391"/>
      <c r="H11" s="391"/>
      <c r="I11" s="391"/>
      <c r="J11" s="556"/>
    </row>
    <row r="12" spans="2:10" s="14" customFormat="1" ht="15.75" customHeight="1" x14ac:dyDescent="0.3">
      <c r="B12" s="94">
        <f t="shared" si="0"/>
        <v>4</v>
      </c>
      <c r="C12" s="79" t="s">
        <v>309</v>
      </c>
      <c r="D12" s="494"/>
      <c r="E12" s="495"/>
      <c r="F12" s="391"/>
      <c r="G12" s="391"/>
      <c r="H12" s="391"/>
      <c r="I12" s="391"/>
      <c r="J12" s="556"/>
    </row>
    <row r="13" spans="2:10" s="14" customFormat="1" ht="15.75" customHeight="1" x14ac:dyDescent="0.3">
      <c r="B13" s="94">
        <f t="shared" si="0"/>
        <v>5</v>
      </c>
      <c r="C13" s="79" t="s">
        <v>473</v>
      </c>
      <c r="D13" s="494"/>
      <c r="E13" s="495"/>
      <c r="F13" s="391"/>
      <c r="G13" s="391"/>
      <c r="H13" s="391"/>
      <c r="I13" s="391"/>
      <c r="J13" s="556"/>
    </row>
    <row r="14" spans="2:10" s="14" customFormat="1" ht="56" x14ac:dyDescent="0.3">
      <c r="B14" s="94">
        <f t="shared" si="0"/>
        <v>6</v>
      </c>
      <c r="C14" s="79" t="s">
        <v>359</v>
      </c>
      <c r="D14" s="494"/>
      <c r="E14" s="495"/>
      <c r="F14" s="391"/>
      <c r="G14" s="391"/>
      <c r="H14" s="391"/>
      <c r="I14" s="391"/>
      <c r="J14" s="556"/>
    </row>
    <row r="15" spans="2:10" s="14" customFormat="1" x14ac:dyDescent="0.3">
      <c r="B15" s="94">
        <f t="shared" si="0"/>
        <v>7</v>
      </c>
      <c r="C15" s="79" t="s">
        <v>474</v>
      </c>
      <c r="D15" s="494"/>
      <c r="E15" s="495"/>
      <c r="F15" s="391"/>
      <c r="G15" s="391"/>
      <c r="H15" s="391"/>
      <c r="I15" s="391"/>
      <c r="J15" s="556"/>
    </row>
    <row r="16" spans="2:10" s="14" customFormat="1" ht="15.75" customHeight="1" x14ac:dyDescent="0.3">
      <c r="B16" s="94">
        <f t="shared" si="0"/>
        <v>8</v>
      </c>
      <c r="C16" s="80" t="s">
        <v>475</v>
      </c>
      <c r="D16" s="494"/>
      <c r="E16" s="495"/>
      <c r="F16" s="391"/>
      <c r="G16" s="391"/>
      <c r="H16" s="391"/>
      <c r="I16" s="391"/>
      <c r="J16" s="556"/>
    </row>
    <row r="17" spans="2:10" ht="15.75" customHeight="1" x14ac:dyDescent="0.3">
      <c r="B17" s="94">
        <f t="shared" si="0"/>
        <v>9</v>
      </c>
      <c r="C17" s="80" t="s">
        <v>310</v>
      </c>
      <c r="D17" s="494"/>
      <c r="E17" s="495"/>
      <c r="F17" s="391"/>
      <c r="G17" s="391"/>
      <c r="H17" s="391"/>
      <c r="I17" s="391"/>
      <c r="J17" s="556"/>
    </row>
    <row r="18" spans="2:10" ht="15.75" customHeight="1" x14ac:dyDescent="0.3">
      <c r="B18" s="94">
        <f t="shared" si="0"/>
        <v>10</v>
      </c>
      <c r="C18" s="80" t="s">
        <v>311</v>
      </c>
      <c r="D18" s="494"/>
      <c r="E18" s="495"/>
      <c r="F18" s="391"/>
      <c r="G18" s="391"/>
      <c r="H18" s="391"/>
      <c r="I18" s="391"/>
      <c r="J18" s="556"/>
    </row>
    <row r="19" spans="2:10" ht="15.75" customHeight="1" x14ac:dyDescent="0.3">
      <c r="B19" s="94">
        <f t="shared" si="0"/>
        <v>11</v>
      </c>
      <c r="C19" s="79" t="s">
        <v>337</v>
      </c>
      <c r="D19" s="494"/>
      <c r="E19" s="495"/>
      <c r="F19" s="391"/>
      <c r="G19" s="391"/>
      <c r="H19" s="391"/>
      <c r="I19" s="391"/>
      <c r="J19" s="556"/>
    </row>
    <row r="20" spans="2:10" ht="15.75" customHeight="1" x14ac:dyDescent="0.3">
      <c r="B20" s="94">
        <f t="shared" si="0"/>
        <v>12</v>
      </c>
      <c r="C20" s="80" t="s">
        <v>37</v>
      </c>
      <c r="D20" s="494"/>
      <c r="E20" s="495"/>
      <c r="F20" s="391"/>
      <c r="G20" s="391"/>
      <c r="H20" s="391"/>
      <c r="I20" s="391"/>
      <c r="J20" s="556"/>
    </row>
    <row r="21" spans="2:10" ht="15.75" customHeight="1" x14ac:dyDescent="0.3">
      <c r="B21" s="94">
        <f t="shared" si="0"/>
        <v>13</v>
      </c>
      <c r="C21" s="80" t="s">
        <v>37</v>
      </c>
      <c r="D21" s="494"/>
      <c r="E21" s="495"/>
      <c r="F21" s="391"/>
      <c r="G21" s="391"/>
      <c r="H21" s="391"/>
      <c r="I21" s="391"/>
      <c r="J21" s="556"/>
    </row>
    <row r="22" spans="2:10" ht="15.75" customHeight="1" x14ac:dyDescent="0.3">
      <c r="B22" s="94"/>
      <c r="C22" s="80" t="s">
        <v>37</v>
      </c>
      <c r="D22" s="496"/>
      <c r="E22" s="497"/>
      <c r="F22" s="391"/>
      <c r="G22" s="391"/>
      <c r="H22" s="391"/>
      <c r="I22" s="391"/>
      <c r="J22" s="556"/>
    </row>
    <row r="23" spans="2:10" s="1" customFormat="1" x14ac:dyDescent="0.3">
      <c r="B23" s="94">
        <v>17</v>
      </c>
      <c r="C23" s="70" t="s">
        <v>282</v>
      </c>
      <c r="D23" s="331">
        <f>SUM(D9:D22)</f>
        <v>0</v>
      </c>
      <c r="E23" s="331">
        <f>SUM(E9:E22)</f>
        <v>0</v>
      </c>
      <c r="F23" s="402"/>
      <c r="G23" s="402"/>
      <c r="H23" s="402"/>
      <c r="I23" s="402"/>
      <c r="J23" s="557"/>
    </row>
  </sheetData>
  <mergeCells count="9">
    <mergeCell ref="J9:J23"/>
    <mergeCell ref="D9:E22"/>
    <mergeCell ref="B2:J2"/>
    <mergeCell ref="B3:J3"/>
    <mergeCell ref="B4:J4"/>
    <mergeCell ref="B7:B8"/>
    <mergeCell ref="C7:C8"/>
    <mergeCell ref="J7:J8"/>
    <mergeCell ref="B5:J5"/>
  </mergeCells>
  <pageMargins left="0.38" right="0.55000000000000004" top="0.66" bottom="0.66" header="0.5" footer="0.5"/>
  <pageSetup paperSize="9" scale="76"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K17"/>
  <sheetViews>
    <sheetView showGridLines="0" view="pageBreakPreview" zoomScale="70" zoomScaleNormal="75" zoomScaleSheetLayoutView="70" workbookViewId="0">
      <selection activeCell="D12" sqref="D12"/>
    </sheetView>
  </sheetViews>
  <sheetFormatPr defaultColWidth="9.1796875" defaultRowHeight="14" x14ac:dyDescent="0.25"/>
  <cols>
    <col min="1" max="1" width="6.81640625" style="24" customWidth="1"/>
    <col min="2" max="2" width="6.54296875" style="101" customWidth="1"/>
    <col min="3" max="3" width="49" style="24" customWidth="1"/>
    <col min="4" max="4" width="14.26953125" style="24" customWidth="1"/>
    <col min="5" max="5" width="12.7265625" style="24" customWidth="1"/>
    <col min="6" max="10" width="16.26953125" style="24" customWidth="1"/>
    <col min="11" max="11" width="17.1796875" style="24" customWidth="1"/>
    <col min="12" max="16384" width="9.1796875" style="24"/>
  </cols>
  <sheetData>
    <row r="1" spans="2:11" x14ac:dyDescent="0.25">
      <c r="C1" s="81"/>
      <c r="D1" s="81"/>
    </row>
    <row r="2" spans="2:11" x14ac:dyDescent="0.25">
      <c r="B2" s="447" t="s">
        <v>628</v>
      </c>
      <c r="C2" s="558"/>
      <c r="D2" s="558"/>
      <c r="E2" s="558"/>
      <c r="F2" s="558"/>
      <c r="G2" s="396"/>
      <c r="H2" s="396"/>
      <c r="I2" s="396"/>
      <c r="J2" s="396"/>
      <c r="K2" s="42"/>
    </row>
    <row r="3" spans="2:11" s="9" customFormat="1" x14ac:dyDescent="0.3">
      <c r="B3" s="561" t="s">
        <v>570</v>
      </c>
      <c r="C3" s="562"/>
      <c r="D3" s="562"/>
      <c r="E3" s="562"/>
      <c r="F3" s="562"/>
      <c r="G3" s="398"/>
      <c r="H3" s="398"/>
      <c r="I3" s="398"/>
      <c r="J3" s="398"/>
      <c r="K3" s="44"/>
    </row>
    <row r="4" spans="2:11" s="9" customFormat="1" x14ac:dyDescent="0.3">
      <c r="B4" s="561" t="s">
        <v>476</v>
      </c>
      <c r="C4" s="562"/>
      <c r="D4" s="562"/>
      <c r="E4" s="562"/>
      <c r="F4" s="562"/>
      <c r="G4" s="398"/>
      <c r="H4" s="398"/>
      <c r="I4" s="398"/>
      <c r="J4" s="398"/>
      <c r="K4" s="44"/>
    </row>
    <row r="5" spans="2:11" s="9" customFormat="1" x14ac:dyDescent="0.3">
      <c r="B5" s="561" t="s">
        <v>629</v>
      </c>
      <c r="C5" s="561"/>
      <c r="D5" s="561"/>
      <c r="E5" s="561"/>
      <c r="F5" s="561"/>
      <c r="G5" s="397"/>
      <c r="H5" s="397"/>
      <c r="I5" s="397"/>
      <c r="J5" s="397"/>
      <c r="K5" s="44"/>
    </row>
    <row r="7" spans="2:11" ht="15" customHeight="1" x14ac:dyDescent="0.25">
      <c r="B7" s="561" t="s">
        <v>518</v>
      </c>
      <c r="C7" s="561"/>
      <c r="D7" s="561"/>
      <c r="E7" s="561"/>
      <c r="F7" s="561"/>
      <c r="G7" s="397"/>
      <c r="H7" s="397"/>
      <c r="I7" s="397"/>
      <c r="J7" s="397"/>
    </row>
    <row r="9" spans="2:11" ht="28" x14ac:dyDescent="0.25">
      <c r="B9" s="285" t="s">
        <v>351</v>
      </c>
      <c r="C9" s="244" t="s">
        <v>49</v>
      </c>
      <c r="D9" s="245" t="s">
        <v>542</v>
      </c>
      <c r="E9" s="298" t="str">
        <f>'F1'!$E$7</f>
        <v>FY 2024-25</v>
      </c>
      <c r="F9" s="298" t="str">
        <f>'F1'!$F$7</f>
        <v>FY 2025-26</v>
      </c>
      <c r="G9" s="298" t="str">
        <f>'F1'!$G$7</f>
        <v>FY 2026-27</v>
      </c>
      <c r="H9" s="298" t="str">
        <f>'F1'!$H$7</f>
        <v>FY 2027-28</v>
      </c>
      <c r="I9" s="298" t="str">
        <f>'F1'!$I$7</f>
        <v>FY 2028-29</v>
      </c>
      <c r="J9" s="298" t="str">
        <f>'F1'!$J$7</f>
        <v>FY 2029-30</v>
      </c>
    </row>
    <row r="10" spans="2:11" x14ac:dyDescent="0.25">
      <c r="B10" s="102">
        <v>1</v>
      </c>
      <c r="C10" s="129" t="s">
        <v>543</v>
      </c>
      <c r="D10" s="130" t="s">
        <v>92</v>
      </c>
      <c r="E10" s="305"/>
      <c r="F10" s="305"/>
      <c r="G10" s="403"/>
      <c r="H10" s="403"/>
      <c r="I10" s="403"/>
      <c r="J10" s="403"/>
    </row>
    <row r="11" spans="2:11" x14ac:dyDescent="0.25">
      <c r="B11" s="102">
        <f>B10+1</f>
        <v>2</v>
      </c>
      <c r="C11" s="129" t="s">
        <v>519</v>
      </c>
      <c r="D11" s="130" t="s">
        <v>93</v>
      </c>
      <c r="E11" s="305"/>
      <c r="F11" s="305"/>
      <c r="G11" s="403"/>
      <c r="H11" s="403"/>
      <c r="I11" s="403"/>
      <c r="J11" s="403"/>
    </row>
    <row r="12" spans="2:11" x14ac:dyDescent="0.25">
      <c r="B12" s="102">
        <f>B11+1</f>
        <v>3</v>
      </c>
      <c r="C12" s="129" t="s">
        <v>521</v>
      </c>
      <c r="D12" s="130" t="s">
        <v>522</v>
      </c>
      <c r="E12" s="305"/>
      <c r="F12" s="305"/>
      <c r="G12" s="403"/>
      <c r="H12" s="403"/>
      <c r="I12" s="403"/>
      <c r="J12" s="403"/>
    </row>
    <row r="13" spans="2:11" x14ac:dyDescent="0.25">
      <c r="B13" s="102"/>
      <c r="C13" s="131"/>
      <c r="D13" s="131"/>
      <c r="E13" s="305"/>
      <c r="F13" s="305"/>
      <c r="G13" s="403"/>
      <c r="H13" s="403"/>
      <c r="I13" s="403"/>
      <c r="J13" s="403"/>
    </row>
    <row r="14" spans="2:11" x14ac:dyDescent="0.25">
      <c r="B14" s="102">
        <v>4</v>
      </c>
      <c r="C14" s="129" t="s">
        <v>544</v>
      </c>
      <c r="D14" s="130" t="s">
        <v>404</v>
      </c>
      <c r="E14" s="260"/>
      <c r="F14" s="260"/>
      <c r="G14" s="404"/>
      <c r="H14" s="404"/>
      <c r="I14" s="404"/>
      <c r="J14" s="404"/>
    </row>
    <row r="15" spans="2:11" x14ac:dyDescent="0.25">
      <c r="B15" s="102">
        <v>5</v>
      </c>
      <c r="C15" s="129" t="s">
        <v>615</v>
      </c>
      <c r="D15" s="130" t="s">
        <v>405</v>
      </c>
      <c r="E15" s="260"/>
      <c r="F15" s="260"/>
      <c r="G15" s="404"/>
      <c r="H15" s="404"/>
      <c r="I15" s="404"/>
      <c r="J15" s="404"/>
    </row>
    <row r="16" spans="2:11" x14ac:dyDescent="0.25">
      <c r="B16" s="102">
        <v>6</v>
      </c>
      <c r="C16" s="129" t="s">
        <v>616</v>
      </c>
      <c r="D16" s="130" t="s">
        <v>617</v>
      </c>
      <c r="E16" s="260"/>
      <c r="F16" s="260"/>
      <c r="G16" s="404"/>
      <c r="H16" s="404"/>
      <c r="I16" s="404"/>
      <c r="J16" s="404"/>
    </row>
    <row r="17" spans="2:10" x14ac:dyDescent="0.25">
      <c r="B17" s="102">
        <v>7</v>
      </c>
      <c r="C17" s="131" t="s">
        <v>520</v>
      </c>
      <c r="D17" s="132" t="s">
        <v>618</v>
      </c>
      <c r="E17" s="259"/>
      <c r="F17" s="259"/>
      <c r="G17" s="405"/>
      <c r="H17" s="405"/>
      <c r="I17" s="405"/>
      <c r="J17" s="405"/>
    </row>
  </sheetData>
  <mergeCells count="5">
    <mergeCell ref="B5:F5"/>
    <mergeCell ref="B7:F7"/>
    <mergeCell ref="B2:F2"/>
    <mergeCell ref="B3:F3"/>
    <mergeCell ref="B4:F4"/>
  </mergeCells>
  <pageMargins left="1.1023622047244099" right="0.27559055118110198" top="1.2204724409448799" bottom="0.98425196850393704" header="0.511811023622047" footer="0.511811023622047"/>
  <pageSetup paperSize="9" scale="35" fitToHeight="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N53"/>
  <sheetViews>
    <sheetView showGridLines="0" view="pageBreakPreview" zoomScale="60" zoomScaleNormal="75" workbookViewId="0">
      <selection activeCell="B32" sqref="B32"/>
    </sheetView>
  </sheetViews>
  <sheetFormatPr defaultColWidth="9.1796875" defaultRowHeight="14" x14ac:dyDescent="0.25"/>
  <cols>
    <col min="1" max="1" width="6.81640625" style="24" customWidth="1"/>
    <col min="2" max="2" width="7.26953125" style="24" customWidth="1"/>
    <col min="3" max="3" width="49" style="24" customWidth="1"/>
    <col min="4" max="4" width="10.26953125" style="24" bestFit="1" customWidth="1"/>
    <col min="5" max="5" width="11.7265625" style="24" customWidth="1"/>
    <col min="6" max="6" width="11" style="24" customWidth="1"/>
    <col min="7" max="7" width="14.453125" style="24" customWidth="1"/>
    <col min="8" max="8" width="13.81640625" style="24" customWidth="1"/>
    <col min="9" max="9" width="16" style="24" customWidth="1"/>
    <col min="10" max="10" width="21" style="24" customWidth="1"/>
    <col min="11" max="11" width="11.7265625" style="24" customWidth="1"/>
    <col min="12" max="12" width="11" style="24" customWidth="1"/>
    <col min="13" max="13" width="13.81640625" style="24" customWidth="1"/>
    <col min="14" max="14" width="16" style="24" customWidth="1"/>
    <col min="15" max="16384" width="9.1796875" style="24"/>
  </cols>
  <sheetData>
    <row r="1" spans="2:14" x14ac:dyDescent="0.25">
      <c r="C1" s="81"/>
    </row>
    <row r="2" spans="2:14" ht="15.65" customHeight="1" x14ac:dyDescent="0.25">
      <c r="B2" s="447" t="s">
        <v>628</v>
      </c>
      <c r="C2" s="447"/>
      <c r="D2" s="447"/>
      <c r="E2" s="447"/>
      <c r="F2" s="447"/>
      <c r="G2" s="447"/>
      <c r="H2" s="447"/>
      <c r="I2" s="447"/>
      <c r="J2" s="447"/>
      <c r="K2" s="42"/>
      <c r="L2" s="42"/>
      <c r="M2" s="42"/>
      <c r="N2" s="42"/>
    </row>
    <row r="3" spans="2:14" s="9" customFormat="1" ht="15.65" customHeight="1" x14ac:dyDescent="0.3">
      <c r="B3" s="561" t="s">
        <v>570</v>
      </c>
      <c r="C3" s="561"/>
      <c r="D3" s="561"/>
      <c r="E3" s="561"/>
      <c r="F3" s="561"/>
      <c r="G3" s="561"/>
      <c r="H3" s="561"/>
      <c r="I3" s="561"/>
      <c r="J3" s="561"/>
      <c r="K3" s="45"/>
      <c r="L3" s="45"/>
      <c r="M3" s="45"/>
      <c r="N3" s="44"/>
    </row>
    <row r="4" spans="2:14" s="9" customFormat="1" ht="15.65" customHeight="1" x14ac:dyDescent="0.3">
      <c r="B4" s="561" t="s">
        <v>361</v>
      </c>
      <c r="C4" s="561"/>
      <c r="D4" s="561"/>
      <c r="E4" s="561"/>
      <c r="F4" s="561"/>
      <c r="G4" s="561"/>
      <c r="H4" s="561"/>
      <c r="I4" s="561"/>
      <c r="J4" s="561"/>
      <c r="K4" s="82"/>
      <c r="L4" s="82"/>
      <c r="M4" s="82"/>
      <c r="N4" s="82"/>
    </row>
    <row r="5" spans="2:14" x14ac:dyDescent="0.25">
      <c r="B5" s="561" t="s">
        <v>629</v>
      </c>
      <c r="C5" s="561"/>
      <c r="D5" s="561"/>
      <c r="E5" s="561"/>
      <c r="F5" s="561"/>
      <c r="G5" s="561"/>
      <c r="H5" s="561"/>
      <c r="I5" s="561"/>
      <c r="J5" s="561"/>
      <c r="K5" s="42"/>
      <c r="L5" s="42"/>
      <c r="M5" s="42"/>
      <c r="N5" s="42"/>
    </row>
    <row r="6" spans="2:14" x14ac:dyDescent="0.25">
      <c r="B6" s="258"/>
      <c r="K6" s="42"/>
      <c r="L6" s="42"/>
      <c r="M6" s="42"/>
      <c r="N6" s="42"/>
    </row>
    <row r="7" spans="2:14" x14ac:dyDescent="0.25">
      <c r="B7" s="83" t="s">
        <v>507</v>
      </c>
    </row>
    <row r="8" spans="2:14" x14ac:dyDescent="0.25">
      <c r="I8" s="29" t="s">
        <v>16</v>
      </c>
    </row>
    <row r="9" spans="2:14" ht="42" x14ac:dyDescent="0.25">
      <c r="B9" s="212" t="s">
        <v>351</v>
      </c>
      <c r="C9" s="213" t="s">
        <v>49</v>
      </c>
      <c r="D9" s="140" t="s">
        <v>38</v>
      </c>
      <c r="E9" s="87" t="s">
        <v>12</v>
      </c>
      <c r="F9" s="87" t="s">
        <v>312</v>
      </c>
      <c r="G9" s="140" t="s">
        <v>419</v>
      </c>
      <c r="H9" s="87" t="s">
        <v>313</v>
      </c>
      <c r="I9" s="87" t="s">
        <v>314</v>
      </c>
      <c r="J9" s="235" t="s">
        <v>487</v>
      </c>
    </row>
    <row r="10" spans="2:14" x14ac:dyDescent="0.25">
      <c r="B10" s="32"/>
      <c r="C10" s="32"/>
      <c r="D10" s="492" t="s">
        <v>640</v>
      </c>
      <c r="E10" s="563"/>
      <c r="F10" s="563"/>
      <c r="G10" s="563"/>
      <c r="H10" s="563"/>
      <c r="I10" s="563"/>
      <c r="J10" s="493"/>
    </row>
    <row r="11" spans="2:14" s="30" customFormat="1" x14ac:dyDescent="0.25">
      <c r="B11" s="102">
        <v>1</v>
      </c>
      <c r="C11" s="121" t="s">
        <v>94</v>
      </c>
      <c r="D11" s="494"/>
      <c r="E11" s="564"/>
      <c r="F11" s="564"/>
      <c r="G11" s="564"/>
      <c r="H11" s="564"/>
      <c r="I11" s="564"/>
      <c r="J11" s="495"/>
    </row>
    <row r="12" spans="2:14" x14ac:dyDescent="0.25">
      <c r="B12" s="102">
        <v>2</v>
      </c>
      <c r="C12" s="121" t="s">
        <v>95</v>
      </c>
      <c r="D12" s="494"/>
      <c r="E12" s="564"/>
      <c r="F12" s="564"/>
      <c r="G12" s="564"/>
      <c r="H12" s="564"/>
      <c r="I12" s="564"/>
      <c r="J12" s="495"/>
    </row>
    <row r="13" spans="2:14" x14ac:dyDescent="0.25">
      <c r="B13" s="102">
        <v>3</v>
      </c>
      <c r="C13" s="122" t="s">
        <v>96</v>
      </c>
      <c r="D13" s="494"/>
      <c r="E13" s="564"/>
      <c r="F13" s="564"/>
      <c r="G13" s="564"/>
      <c r="H13" s="564"/>
      <c r="I13" s="564"/>
      <c r="J13" s="495"/>
    </row>
    <row r="14" spans="2:14" x14ac:dyDescent="0.25">
      <c r="B14" s="102">
        <v>4</v>
      </c>
      <c r="C14" s="121" t="s">
        <v>97</v>
      </c>
      <c r="D14" s="494"/>
      <c r="E14" s="564"/>
      <c r="F14" s="564"/>
      <c r="G14" s="564"/>
      <c r="H14" s="564"/>
      <c r="I14" s="564"/>
      <c r="J14" s="495"/>
    </row>
    <row r="15" spans="2:14" x14ac:dyDescent="0.25">
      <c r="B15" s="102">
        <v>5</v>
      </c>
      <c r="C15" s="122" t="s">
        <v>98</v>
      </c>
      <c r="D15" s="494"/>
      <c r="E15" s="564"/>
      <c r="F15" s="564"/>
      <c r="G15" s="564"/>
      <c r="H15" s="564"/>
      <c r="I15" s="564"/>
      <c r="J15" s="495"/>
    </row>
    <row r="16" spans="2:14" x14ac:dyDescent="0.25">
      <c r="B16" s="102">
        <v>6</v>
      </c>
      <c r="C16" s="105" t="s">
        <v>99</v>
      </c>
      <c r="D16" s="494"/>
      <c r="E16" s="564"/>
      <c r="F16" s="564"/>
      <c r="G16" s="564"/>
      <c r="H16" s="564"/>
      <c r="I16" s="564"/>
      <c r="J16" s="495"/>
    </row>
    <row r="17" spans="2:11" x14ac:dyDescent="0.25">
      <c r="B17" s="102">
        <v>7</v>
      </c>
      <c r="C17" s="32" t="s">
        <v>100</v>
      </c>
      <c r="D17" s="494"/>
      <c r="E17" s="564"/>
      <c r="F17" s="564"/>
      <c r="G17" s="564"/>
      <c r="H17" s="564"/>
      <c r="I17" s="564"/>
      <c r="J17" s="495"/>
    </row>
    <row r="18" spans="2:11" x14ac:dyDescent="0.25">
      <c r="B18" s="102"/>
      <c r="C18" s="32"/>
      <c r="D18" s="494"/>
      <c r="E18" s="564"/>
      <c r="F18" s="564"/>
      <c r="G18" s="564"/>
      <c r="H18" s="564"/>
      <c r="I18" s="564"/>
      <c r="J18" s="495"/>
    </row>
    <row r="19" spans="2:11" x14ac:dyDescent="0.25">
      <c r="B19" s="103">
        <v>8</v>
      </c>
      <c r="C19" s="35" t="s">
        <v>101</v>
      </c>
      <c r="D19" s="494"/>
      <c r="E19" s="564"/>
      <c r="F19" s="564"/>
      <c r="G19" s="564"/>
      <c r="H19" s="564"/>
      <c r="I19" s="564"/>
      <c r="J19" s="495"/>
    </row>
    <row r="20" spans="2:11" s="30" customFormat="1" x14ac:dyDescent="0.25">
      <c r="B20" s="102">
        <v>9</v>
      </c>
      <c r="C20" s="32" t="s">
        <v>102</v>
      </c>
      <c r="D20" s="494"/>
      <c r="E20" s="564"/>
      <c r="F20" s="564"/>
      <c r="G20" s="564"/>
      <c r="H20" s="564"/>
      <c r="I20" s="564"/>
      <c r="J20" s="495"/>
    </row>
    <row r="21" spans="2:11" x14ac:dyDescent="0.25">
      <c r="B21" s="102">
        <v>10</v>
      </c>
      <c r="C21" s="32" t="s">
        <v>103</v>
      </c>
      <c r="D21" s="494"/>
      <c r="E21" s="564"/>
      <c r="F21" s="564"/>
      <c r="G21" s="564"/>
      <c r="H21" s="564"/>
      <c r="I21" s="564"/>
      <c r="J21" s="495"/>
    </row>
    <row r="22" spans="2:11" s="30" customFormat="1" x14ac:dyDescent="0.25">
      <c r="B22" s="103" t="s">
        <v>181</v>
      </c>
      <c r="C22" s="35" t="s">
        <v>104</v>
      </c>
      <c r="D22" s="494"/>
      <c r="E22" s="564"/>
      <c r="F22" s="564"/>
      <c r="G22" s="564"/>
      <c r="H22" s="564"/>
      <c r="I22" s="564"/>
      <c r="J22" s="495"/>
    </row>
    <row r="23" spans="2:11" s="30" customFormat="1" x14ac:dyDescent="0.25">
      <c r="B23" s="119"/>
      <c r="C23" s="107"/>
      <c r="D23" s="494"/>
      <c r="E23" s="564"/>
      <c r="F23" s="564"/>
      <c r="G23" s="564"/>
      <c r="H23" s="564"/>
      <c r="I23" s="564"/>
      <c r="J23" s="495"/>
    </row>
    <row r="24" spans="2:11" s="30" customFormat="1" x14ac:dyDescent="0.25">
      <c r="B24" s="119" t="s">
        <v>191</v>
      </c>
      <c r="C24" s="107" t="s">
        <v>315</v>
      </c>
      <c r="D24" s="494"/>
      <c r="E24" s="564"/>
      <c r="F24" s="564"/>
      <c r="G24" s="564"/>
      <c r="H24" s="564"/>
      <c r="I24" s="564"/>
      <c r="J24" s="495"/>
    </row>
    <row r="25" spans="2:11" x14ac:dyDescent="0.25">
      <c r="B25" s="106">
        <v>11</v>
      </c>
      <c r="C25" s="105" t="s">
        <v>316</v>
      </c>
      <c r="D25" s="494"/>
      <c r="E25" s="564"/>
      <c r="F25" s="564"/>
      <c r="G25" s="564"/>
      <c r="H25" s="564"/>
      <c r="I25" s="564"/>
      <c r="J25" s="495"/>
      <c r="K25" s="30"/>
    </row>
    <row r="26" spans="2:11" x14ac:dyDescent="0.25">
      <c r="B26" s="106"/>
      <c r="C26" s="105"/>
      <c r="D26" s="494"/>
      <c r="E26" s="564"/>
      <c r="F26" s="564"/>
      <c r="G26" s="564"/>
      <c r="H26" s="564"/>
      <c r="I26" s="564"/>
      <c r="J26" s="495"/>
      <c r="K26" s="30"/>
    </row>
    <row r="27" spans="2:11" s="30" customFormat="1" x14ac:dyDescent="0.25">
      <c r="B27" s="119" t="s">
        <v>192</v>
      </c>
      <c r="C27" s="107" t="s">
        <v>324</v>
      </c>
      <c r="D27" s="496"/>
      <c r="E27" s="565"/>
      <c r="F27" s="565"/>
      <c r="G27" s="565"/>
      <c r="H27" s="565"/>
      <c r="I27" s="565"/>
      <c r="J27" s="497"/>
    </row>
    <row r="28" spans="2:11" s="30" customFormat="1" x14ac:dyDescent="0.25">
      <c r="B28" s="255"/>
      <c r="C28" s="256"/>
      <c r="D28" s="233"/>
      <c r="E28" s="233"/>
      <c r="F28" s="233"/>
      <c r="G28" s="233"/>
      <c r="H28" s="233"/>
      <c r="I28" s="233"/>
      <c r="J28" s="231"/>
    </row>
    <row r="29" spans="2:11" s="30" customFormat="1" x14ac:dyDescent="0.25">
      <c r="B29" s="258" t="s">
        <v>546</v>
      </c>
      <c r="C29" s="256"/>
      <c r="D29" s="233"/>
      <c r="E29" s="233"/>
      <c r="F29" s="233"/>
      <c r="G29" s="233"/>
      <c r="H29" s="233"/>
      <c r="I29" s="233"/>
      <c r="J29" s="231"/>
    </row>
    <row r="30" spans="2:11" s="30" customFormat="1" x14ac:dyDescent="0.25">
      <c r="B30" s="258"/>
      <c r="C30" s="256"/>
      <c r="D30" s="233"/>
      <c r="E30" s="233"/>
      <c r="F30" s="233"/>
      <c r="G30" s="233"/>
      <c r="H30" s="233"/>
      <c r="I30" s="233"/>
      <c r="J30" s="231"/>
    </row>
    <row r="31" spans="2:11" x14ac:dyDescent="0.25">
      <c r="B31" s="83" t="s">
        <v>653</v>
      </c>
    </row>
    <row r="32" spans="2:11" x14ac:dyDescent="0.25">
      <c r="I32" s="29" t="s">
        <v>16</v>
      </c>
    </row>
    <row r="33" spans="2:10" ht="42" x14ac:dyDescent="0.25">
      <c r="B33" s="212" t="s">
        <v>351</v>
      </c>
      <c r="C33" s="213" t="s">
        <v>49</v>
      </c>
      <c r="D33" s="285" t="s">
        <v>38</v>
      </c>
      <c r="E33" s="285" t="s">
        <v>12</v>
      </c>
      <c r="F33" s="285" t="s">
        <v>312</v>
      </c>
      <c r="G33" s="285" t="s">
        <v>419</v>
      </c>
      <c r="H33" s="285" t="s">
        <v>313</v>
      </c>
      <c r="I33" s="285" t="s">
        <v>314</v>
      </c>
      <c r="J33" s="285" t="s">
        <v>487</v>
      </c>
    </row>
    <row r="34" spans="2:10" x14ac:dyDescent="0.25">
      <c r="B34" s="32"/>
      <c r="C34" s="32"/>
      <c r="D34" s="492" t="s">
        <v>640</v>
      </c>
      <c r="E34" s="563"/>
      <c r="F34" s="563"/>
      <c r="G34" s="563"/>
      <c r="H34" s="563"/>
      <c r="I34" s="563"/>
      <c r="J34" s="493"/>
    </row>
    <row r="35" spans="2:10" s="30" customFormat="1" x14ac:dyDescent="0.25">
      <c r="B35" s="102">
        <v>1</v>
      </c>
      <c r="C35" s="121" t="s">
        <v>94</v>
      </c>
      <c r="D35" s="494"/>
      <c r="E35" s="564"/>
      <c r="F35" s="564"/>
      <c r="G35" s="564"/>
      <c r="H35" s="564"/>
      <c r="I35" s="564"/>
      <c r="J35" s="495"/>
    </row>
    <row r="36" spans="2:10" x14ac:dyDescent="0.25">
      <c r="B36" s="102">
        <v>2</v>
      </c>
      <c r="C36" s="121" t="s">
        <v>95</v>
      </c>
      <c r="D36" s="494"/>
      <c r="E36" s="564"/>
      <c r="F36" s="564"/>
      <c r="G36" s="564"/>
      <c r="H36" s="564"/>
      <c r="I36" s="564"/>
      <c r="J36" s="495"/>
    </row>
    <row r="37" spans="2:10" x14ac:dyDescent="0.25">
      <c r="B37" s="102">
        <v>3</v>
      </c>
      <c r="C37" s="122" t="s">
        <v>96</v>
      </c>
      <c r="D37" s="494"/>
      <c r="E37" s="564"/>
      <c r="F37" s="564"/>
      <c r="G37" s="564"/>
      <c r="H37" s="564"/>
      <c r="I37" s="564"/>
      <c r="J37" s="495"/>
    </row>
    <row r="38" spans="2:10" x14ac:dyDescent="0.25">
      <c r="B38" s="102">
        <v>4</v>
      </c>
      <c r="C38" s="121" t="s">
        <v>97</v>
      </c>
      <c r="D38" s="494"/>
      <c r="E38" s="564"/>
      <c r="F38" s="564"/>
      <c r="G38" s="564"/>
      <c r="H38" s="564"/>
      <c r="I38" s="564"/>
      <c r="J38" s="495"/>
    </row>
    <row r="39" spans="2:10" x14ac:dyDescent="0.25">
      <c r="B39" s="102">
        <v>5</v>
      </c>
      <c r="C39" s="122" t="s">
        <v>98</v>
      </c>
      <c r="D39" s="494"/>
      <c r="E39" s="564"/>
      <c r="F39" s="564"/>
      <c r="G39" s="564"/>
      <c r="H39" s="564"/>
      <c r="I39" s="564"/>
      <c r="J39" s="495"/>
    </row>
    <row r="40" spans="2:10" x14ac:dyDescent="0.25">
      <c r="B40" s="102">
        <v>6</v>
      </c>
      <c r="C40" s="105" t="s">
        <v>99</v>
      </c>
      <c r="D40" s="494"/>
      <c r="E40" s="564"/>
      <c r="F40" s="564"/>
      <c r="G40" s="564"/>
      <c r="H40" s="564"/>
      <c r="I40" s="564"/>
      <c r="J40" s="495"/>
    </row>
    <row r="41" spans="2:10" x14ac:dyDescent="0.25">
      <c r="B41" s="102">
        <v>7</v>
      </c>
      <c r="C41" s="32" t="s">
        <v>100</v>
      </c>
      <c r="D41" s="494"/>
      <c r="E41" s="564"/>
      <c r="F41" s="564"/>
      <c r="G41" s="564"/>
      <c r="H41" s="564"/>
      <c r="I41" s="564"/>
      <c r="J41" s="495"/>
    </row>
    <row r="42" spans="2:10" x14ac:dyDescent="0.25">
      <c r="B42" s="102"/>
      <c r="C42" s="32"/>
      <c r="D42" s="494"/>
      <c r="E42" s="564"/>
      <c r="F42" s="564"/>
      <c r="G42" s="564"/>
      <c r="H42" s="564"/>
      <c r="I42" s="564"/>
      <c r="J42" s="495"/>
    </row>
    <row r="43" spans="2:10" x14ac:dyDescent="0.25">
      <c r="B43" s="103">
        <v>8</v>
      </c>
      <c r="C43" s="35" t="s">
        <v>101</v>
      </c>
      <c r="D43" s="494"/>
      <c r="E43" s="564"/>
      <c r="F43" s="564"/>
      <c r="G43" s="564"/>
      <c r="H43" s="564"/>
      <c r="I43" s="564"/>
      <c r="J43" s="495"/>
    </row>
    <row r="44" spans="2:10" s="30" customFormat="1" x14ac:dyDescent="0.25">
      <c r="B44" s="102">
        <v>9</v>
      </c>
      <c r="C44" s="32" t="s">
        <v>102</v>
      </c>
      <c r="D44" s="494"/>
      <c r="E44" s="564"/>
      <c r="F44" s="564"/>
      <c r="G44" s="564"/>
      <c r="H44" s="564"/>
      <c r="I44" s="564"/>
      <c r="J44" s="495"/>
    </row>
    <row r="45" spans="2:10" x14ac:dyDescent="0.25">
      <c r="B45" s="102">
        <v>10</v>
      </c>
      <c r="C45" s="32" t="s">
        <v>103</v>
      </c>
      <c r="D45" s="494"/>
      <c r="E45" s="564"/>
      <c r="F45" s="564"/>
      <c r="G45" s="564"/>
      <c r="H45" s="564"/>
      <c r="I45" s="564"/>
      <c r="J45" s="495"/>
    </row>
    <row r="46" spans="2:10" s="30" customFormat="1" x14ac:dyDescent="0.25">
      <c r="B46" s="103" t="s">
        <v>181</v>
      </c>
      <c r="C46" s="35" t="s">
        <v>104</v>
      </c>
      <c r="D46" s="494"/>
      <c r="E46" s="564"/>
      <c r="F46" s="564"/>
      <c r="G46" s="564"/>
      <c r="H46" s="564"/>
      <c r="I46" s="564"/>
      <c r="J46" s="495"/>
    </row>
    <row r="47" spans="2:10" s="30" customFormat="1" x14ac:dyDescent="0.25">
      <c r="B47" s="119"/>
      <c r="C47" s="107"/>
      <c r="D47" s="494"/>
      <c r="E47" s="564"/>
      <c r="F47" s="564"/>
      <c r="G47" s="564"/>
      <c r="H47" s="564"/>
      <c r="I47" s="564"/>
      <c r="J47" s="495"/>
    </row>
    <row r="48" spans="2:10" s="30" customFormat="1" x14ac:dyDescent="0.25">
      <c r="B48" s="119" t="s">
        <v>191</v>
      </c>
      <c r="C48" s="107" t="s">
        <v>315</v>
      </c>
      <c r="D48" s="494"/>
      <c r="E48" s="564"/>
      <c r="F48" s="564"/>
      <c r="G48" s="564"/>
      <c r="H48" s="564"/>
      <c r="I48" s="564"/>
      <c r="J48" s="495"/>
    </row>
    <row r="49" spans="2:11" x14ac:dyDescent="0.25">
      <c r="B49" s="106">
        <v>11</v>
      </c>
      <c r="C49" s="105" t="s">
        <v>316</v>
      </c>
      <c r="D49" s="494"/>
      <c r="E49" s="564"/>
      <c r="F49" s="564"/>
      <c r="G49" s="564"/>
      <c r="H49" s="564"/>
      <c r="I49" s="564"/>
      <c r="J49" s="495"/>
      <c r="K49" s="30"/>
    </row>
    <row r="50" spans="2:11" x14ac:dyDescent="0.25">
      <c r="B50" s="106"/>
      <c r="C50" s="105"/>
      <c r="D50" s="494"/>
      <c r="E50" s="564"/>
      <c r="F50" s="564"/>
      <c r="G50" s="564"/>
      <c r="H50" s="564"/>
      <c r="I50" s="564"/>
      <c r="J50" s="495"/>
      <c r="K50" s="30"/>
    </row>
    <row r="51" spans="2:11" s="30" customFormat="1" x14ac:dyDescent="0.25">
      <c r="B51" s="119" t="s">
        <v>192</v>
      </c>
      <c r="C51" s="107" t="s">
        <v>324</v>
      </c>
      <c r="D51" s="496"/>
      <c r="E51" s="565"/>
      <c r="F51" s="565"/>
      <c r="G51" s="565"/>
      <c r="H51" s="565"/>
      <c r="I51" s="565"/>
      <c r="J51" s="497"/>
    </row>
    <row r="53" spans="2:11" x14ac:dyDescent="0.25">
      <c r="B53" s="123" t="s">
        <v>546</v>
      </c>
      <c r="D53" s="84"/>
      <c r="E53" s="84"/>
      <c r="F53" s="84"/>
      <c r="G53" s="84"/>
      <c r="H53" s="84"/>
      <c r="I53" s="84"/>
    </row>
  </sheetData>
  <mergeCells count="6">
    <mergeCell ref="D34:J51"/>
    <mergeCell ref="B5:J5"/>
    <mergeCell ref="B2:J2"/>
    <mergeCell ref="B3:J3"/>
    <mergeCell ref="B4:J4"/>
    <mergeCell ref="D10:J27"/>
  </mergeCells>
  <pageMargins left="1.1200000000000001" right="0.27" top="1.24" bottom="1" header="0.5" footer="0.5"/>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K55"/>
  <sheetViews>
    <sheetView showGridLines="0" view="pageBreakPreview" topLeftCell="C1" zoomScale="70" zoomScaleNormal="75" workbookViewId="0">
      <selection activeCell="B2" sqref="B2:K2"/>
    </sheetView>
  </sheetViews>
  <sheetFormatPr defaultColWidth="9.1796875" defaultRowHeight="14" x14ac:dyDescent="0.3"/>
  <cols>
    <col min="1" max="1" width="4.1796875" style="9" customWidth="1"/>
    <col min="2" max="2" width="6.26953125" style="9" customWidth="1"/>
    <col min="3" max="3" width="45.1796875" style="9" customWidth="1"/>
    <col min="4" max="4" width="15.7265625" style="55" customWidth="1"/>
    <col min="5" max="5" width="17.1796875" style="55" customWidth="1"/>
    <col min="6" max="10" width="16.453125" style="55" customWidth="1"/>
    <col min="11" max="11" width="15.7265625" style="9" customWidth="1"/>
    <col min="12" max="16384" width="9.1796875" style="9"/>
  </cols>
  <sheetData>
    <row r="2" spans="2:11" x14ac:dyDescent="0.3">
      <c r="B2" s="447" t="s">
        <v>628</v>
      </c>
      <c r="C2" s="439"/>
      <c r="D2" s="439"/>
      <c r="E2" s="439"/>
      <c r="F2" s="439"/>
      <c r="G2" s="439"/>
      <c r="H2" s="439"/>
      <c r="I2" s="439"/>
      <c r="J2" s="439"/>
      <c r="K2" s="439"/>
    </row>
    <row r="3" spans="2:11" x14ac:dyDescent="0.3">
      <c r="B3" s="448" t="s">
        <v>570</v>
      </c>
      <c r="C3" s="439"/>
      <c r="D3" s="439"/>
      <c r="E3" s="439"/>
      <c r="F3" s="439"/>
      <c r="G3" s="439"/>
      <c r="H3" s="439"/>
      <c r="I3" s="439"/>
      <c r="J3" s="439"/>
      <c r="K3" s="439"/>
    </row>
    <row r="4" spans="2:11" x14ac:dyDescent="0.3">
      <c r="B4" s="448" t="s">
        <v>385</v>
      </c>
      <c r="C4" s="439"/>
      <c r="D4" s="439"/>
      <c r="E4" s="439"/>
      <c r="F4" s="439"/>
      <c r="G4" s="439"/>
      <c r="H4" s="439"/>
      <c r="I4" s="439"/>
      <c r="J4" s="439"/>
      <c r="K4" s="439"/>
    </row>
    <row r="5" spans="2:11" s="24" customFormat="1" x14ac:dyDescent="0.25">
      <c r="B5" s="447" t="s">
        <v>629</v>
      </c>
      <c r="C5" s="439"/>
      <c r="D5" s="439"/>
      <c r="E5" s="439"/>
      <c r="F5" s="439"/>
      <c r="G5" s="439"/>
      <c r="H5" s="439"/>
      <c r="I5" s="439"/>
      <c r="J5" s="439"/>
      <c r="K5" s="439"/>
    </row>
    <row r="6" spans="2:11" s="24" customFormat="1" x14ac:dyDescent="0.3">
      <c r="B6" s="42"/>
      <c r="C6" s="16"/>
      <c r="D6" s="43"/>
      <c r="E6" s="101"/>
      <c r="F6" s="101"/>
      <c r="G6" s="101"/>
      <c r="H6" s="101"/>
      <c r="I6" s="101"/>
      <c r="J6" s="101"/>
    </row>
    <row r="7" spans="2:11" s="44" customFormat="1" ht="21" customHeight="1" x14ac:dyDescent="0.3">
      <c r="B7" s="452" t="s">
        <v>351</v>
      </c>
      <c r="C7" s="462" t="s">
        <v>49</v>
      </c>
      <c r="D7" s="462" t="s">
        <v>105</v>
      </c>
      <c r="E7" s="298" t="s">
        <v>507</v>
      </c>
      <c r="F7" s="298" t="s">
        <v>653</v>
      </c>
      <c r="G7" s="298" t="s">
        <v>659</v>
      </c>
      <c r="H7" s="298" t="s">
        <v>660</v>
      </c>
      <c r="I7" s="298" t="s">
        <v>661</v>
      </c>
      <c r="J7" s="298" t="s">
        <v>662</v>
      </c>
      <c r="K7" s="452" t="s">
        <v>40</v>
      </c>
    </row>
    <row r="8" spans="2:11" s="45" customFormat="1" ht="28" x14ac:dyDescent="0.25">
      <c r="B8" s="462"/>
      <c r="C8" s="462"/>
      <c r="D8" s="462"/>
      <c r="E8" s="299" t="s">
        <v>569</v>
      </c>
      <c r="F8" s="299" t="s">
        <v>569</v>
      </c>
      <c r="G8" s="384" t="s">
        <v>663</v>
      </c>
      <c r="H8" s="384" t="s">
        <v>663</v>
      </c>
      <c r="I8" s="384" t="s">
        <v>663</v>
      </c>
      <c r="J8" s="384" t="s">
        <v>663</v>
      </c>
      <c r="K8" s="452"/>
    </row>
    <row r="9" spans="2:11" s="45" customFormat="1" x14ac:dyDescent="0.25">
      <c r="B9" s="48"/>
      <c r="C9" s="147"/>
      <c r="D9" s="148"/>
      <c r="E9" s="94"/>
      <c r="F9" s="94"/>
      <c r="G9" s="94"/>
      <c r="H9" s="94"/>
      <c r="I9" s="94"/>
      <c r="J9" s="94"/>
      <c r="K9" s="46"/>
    </row>
    <row r="10" spans="2:11" s="45" customFormat="1" x14ac:dyDescent="0.3">
      <c r="B10" s="149">
        <v>1</v>
      </c>
      <c r="C10" s="150" t="s">
        <v>107</v>
      </c>
      <c r="D10" s="149" t="s">
        <v>108</v>
      </c>
      <c r="E10" s="306">
        <v>660</v>
      </c>
      <c r="F10" s="306">
        <v>660</v>
      </c>
      <c r="G10" s="306">
        <v>660</v>
      </c>
      <c r="H10" s="306">
        <v>660</v>
      </c>
      <c r="I10" s="306">
        <v>660</v>
      </c>
      <c r="J10" s="306">
        <v>660</v>
      </c>
      <c r="K10" s="46"/>
    </row>
    <row r="11" spans="2:11" s="45" customFormat="1" ht="28" x14ac:dyDescent="0.25">
      <c r="B11" s="149">
        <v>2</v>
      </c>
      <c r="C11" s="150" t="s">
        <v>509</v>
      </c>
      <c r="D11" s="149"/>
      <c r="E11" s="172" t="s">
        <v>633</v>
      </c>
      <c r="F11" s="172" t="s">
        <v>633</v>
      </c>
      <c r="G11" s="172" t="s">
        <v>633</v>
      </c>
      <c r="H11" s="172" t="s">
        <v>633</v>
      </c>
      <c r="I11" s="172" t="s">
        <v>633</v>
      </c>
      <c r="J11" s="172" t="s">
        <v>633</v>
      </c>
      <c r="K11" s="46"/>
    </row>
    <row r="12" spans="2:11" s="45" customFormat="1" x14ac:dyDescent="0.3">
      <c r="B12" s="149"/>
      <c r="C12" s="150"/>
      <c r="D12" s="149"/>
      <c r="E12" s="134"/>
      <c r="F12" s="134"/>
      <c r="G12" s="134"/>
      <c r="H12" s="134"/>
      <c r="I12" s="134"/>
      <c r="J12" s="134"/>
      <c r="K12" s="46"/>
    </row>
    <row r="13" spans="2:11" s="45" customFormat="1" x14ac:dyDescent="0.3">
      <c r="B13" s="48">
        <v>2</v>
      </c>
      <c r="C13" s="191" t="s">
        <v>386</v>
      </c>
      <c r="D13" s="149"/>
      <c r="E13" s="134"/>
      <c r="F13" s="134"/>
      <c r="G13" s="134"/>
      <c r="H13" s="134"/>
      <c r="I13" s="134"/>
      <c r="J13" s="134"/>
      <c r="K13" s="46"/>
    </row>
    <row r="14" spans="2:11" s="45" customFormat="1" x14ac:dyDescent="0.3">
      <c r="B14" s="149">
        <f>B13+0.1</f>
        <v>2.1</v>
      </c>
      <c r="C14" s="150" t="s">
        <v>109</v>
      </c>
      <c r="D14" s="149" t="s">
        <v>110</v>
      </c>
      <c r="E14" s="307">
        <v>0.85</v>
      </c>
      <c r="F14" s="307">
        <v>0.85</v>
      </c>
      <c r="G14" s="307">
        <v>0.85</v>
      </c>
      <c r="H14" s="307">
        <v>0.85</v>
      </c>
      <c r="I14" s="307">
        <v>0.85</v>
      </c>
      <c r="J14" s="307">
        <v>0.85</v>
      </c>
      <c r="K14" s="46"/>
    </row>
    <row r="15" spans="2:11" s="45" customFormat="1" x14ac:dyDescent="0.3">
      <c r="B15" s="149">
        <v>2.2000000000000002</v>
      </c>
      <c r="C15" s="150" t="s">
        <v>576</v>
      </c>
      <c r="D15" s="149" t="s">
        <v>110</v>
      </c>
      <c r="E15" s="307">
        <f t="shared" ref="E15:J15" si="0">E14</f>
        <v>0.85</v>
      </c>
      <c r="F15" s="307">
        <f t="shared" si="0"/>
        <v>0.85</v>
      </c>
      <c r="G15" s="307">
        <f t="shared" si="0"/>
        <v>0.85</v>
      </c>
      <c r="H15" s="307">
        <f t="shared" si="0"/>
        <v>0.85</v>
      </c>
      <c r="I15" s="307">
        <f t="shared" si="0"/>
        <v>0.85</v>
      </c>
      <c r="J15" s="307">
        <f t="shared" si="0"/>
        <v>0.85</v>
      </c>
      <c r="K15" s="46"/>
    </row>
    <row r="16" spans="2:11" s="45" customFormat="1" x14ac:dyDescent="0.25">
      <c r="B16" s="149" t="s">
        <v>129</v>
      </c>
      <c r="C16" s="282" t="s">
        <v>550</v>
      </c>
      <c r="D16" s="149" t="s">
        <v>110</v>
      </c>
      <c r="E16" s="250"/>
      <c r="F16" s="250"/>
      <c r="G16" s="250"/>
      <c r="H16" s="250"/>
      <c r="I16" s="250"/>
      <c r="J16" s="250"/>
      <c r="K16" s="46"/>
    </row>
    <row r="17" spans="2:11" s="45" customFormat="1" x14ac:dyDescent="0.25">
      <c r="B17" s="149"/>
      <c r="C17" s="283" t="s">
        <v>551</v>
      </c>
      <c r="D17" s="149" t="s">
        <v>110</v>
      </c>
      <c r="E17" s="250"/>
      <c r="F17" s="250"/>
      <c r="G17" s="250"/>
      <c r="H17" s="250"/>
      <c r="I17" s="250"/>
      <c r="J17" s="250"/>
      <c r="K17" s="46"/>
    </row>
    <row r="18" spans="2:11" s="45" customFormat="1" x14ac:dyDescent="0.25">
      <c r="B18" s="149"/>
      <c r="C18" s="283" t="s">
        <v>552</v>
      </c>
      <c r="D18" s="149" t="s">
        <v>110</v>
      </c>
      <c r="E18" s="250"/>
      <c r="F18" s="250"/>
      <c r="G18" s="250"/>
      <c r="H18" s="250"/>
      <c r="I18" s="250"/>
      <c r="J18" s="250"/>
      <c r="K18" s="46"/>
    </row>
    <row r="19" spans="2:11" s="45" customFormat="1" x14ac:dyDescent="0.25">
      <c r="B19" s="149" t="s">
        <v>131</v>
      </c>
      <c r="C19" s="282" t="s">
        <v>553</v>
      </c>
      <c r="D19" s="149" t="s">
        <v>110</v>
      </c>
      <c r="E19" s="250"/>
      <c r="F19" s="250"/>
      <c r="G19" s="250"/>
      <c r="H19" s="250"/>
      <c r="I19" s="250"/>
      <c r="J19" s="250"/>
      <c r="K19" s="46"/>
    </row>
    <row r="20" spans="2:11" s="45" customFormat="1" x14ac:dyDescent="0.25">
      <c r="B20" s="149"/>
      <c r="C20" s="283" t="s">
        <v>551</v>
      </c>
      <c r="D20" s="149" t="s">
        <v>110</v>
      </c>
      <c r="E20" s="250"/>
      <c r="F20" s="250"/>
      <c r="G20" s="250"/>
      <c r="H20" s="250"/>
      <c r="I20" s="250"/>
      <c r="J20" s="250"/>
      <c r="K20" s="46"/>
    </row>
    <row r="21" spans="2:11" s="45" customFormat="1" x14ac:dyDescent="0.25">
      <c r="B21" s="149"/>
      <c r="C21" s="283" t="s">
        <v>552</v>
      </c>
      <c r="D21" s="149" t="s">
        <v>110</v>
      </c>
      <c r="E21" s="250"/>
      <c r="F21" s="250"/>
      <c r="G21" s="250"/>
      <c r="H21" s="250"/>
      <c r="I21" s="250"/>
      <c r="J21" s="250"/>
      <c r="K21" s="46"/>
    </row>
    <row r="22" spans="2:11" s="45" customFormat="1" x14ac:dyDescent="0.25">
      <c r="B22" s="149"/>
      <c r="C22" s="150"/>
      <c r="D22" s="149"/>
      <c r="E22" s="94"/>
      <c r="F22" s="94"/>
      <c r="G22" s="94"/>
      <c r="H22" s="94"/>
      <c r="I22" s="94"/>
      <c r="J22" s="94"/>
      <c r="K22" s="46"/>
    </row>
    <row r="23" spans="2:11" s="45" customFormat="1" x14ac:dyDescent="0.25">
      <c r="B23" s="48">
        <v>3</v>
      </c>
      <c r="C23" s="191" t="s">
        <v>387</v>
      </c>
      <c r="D23" s="149"/>
      <c r="E23" s="94"/>
      <c r="F23" s="94"/>
      <c r="G23" s="94"/>
      <c r="H23" s="94"/>
      <c r="I23" s="94"/>
      <c r="J23" s="94"/>
      <c r="K23" s="46"/>
    </row>
    <row r="24" spans="2:11" s="45" customFormat="1" x14ac:dyDescent="0.25">
      <c r="B24" s="149">
        <f>B23+0.1</f>
        <v>3.1</v>
      </c>
      <c r="C24" s="150" t="s">
        <v>111</v>
      </c>
      <c r="D24" s="149" t="s">
        <v>110</v>
      </c>
      <c r="E24" s="308">
        <v>0.85</v>
      </c>
      <c r="F24" s="308">
        <v>0.85</v>
      </c>
      <c r="G24" s="308">
        <v>0.85</v>
      </c>
      <c r="H24" s="308">
        <v>0.85</v>
      </c>
      <c r="I24" s="308">
        <v>0.85</v>
      </c>
      <c r="J24" s="308">
        <v>0.85</v>
      </c>
      <c r="K24" s="46"/>
    </row>
    <row r="25" spans="2:11" s="45" customFormat="1" x14ac:dyDescent="0.25">
      <c r="B25" s="149">
        <v>3.2</v>
      </c>
      <c r="C25" s="150" t="s">
        <v>579</v>
      </c>
      <c r="D25" s="149" t="s">
        <v>110</v>
      </c>
      <c r="E25" s="310">
        <v>0.85</v>
      </c>
      <c r="F25" s="310">
        <v>0.85</v>
      </c>
      <c r="G25" s="310">
        <v>0.85</v>
      </c>
      <c r="H25" s="310">
        <v>0.85</v>
      </c>
      <c r="I25" s="310">
        <v>0.85</v>
      </c>
      <c r="J25" s="310">
        <v>0.85</v>
      </c>
      <c r="K25" s="46"/>
    </row>
    <row r="26" spans="2:11" s="45" customFormat="1" x14ac:dyDescent="0.25">
      <c r="B26" s="149">
        <v>3.3</v>
      </c>
      <c r="C26" s="261" t="s">
        <v>571</v>
      </c>
      <c r="D26" s="149" t="s">
        <v>110</v>
      </c>
      <c r="E26" s="309"/>
      <c r="F26" s="309"/>
      <c r="G26" s="309"/>
      <c r="H26" s="309"/>
      <c r="I26" s="309"/>
      <c r="J26" s="309"/>
      <c r="K26" s="46"/>
    </row>
    <row r="27" spans="2:11" s="45" customFormat="1" x14ac:dyDescent="0.25">
      <c r="B27" s="149"/>
      <c r="C27" s="150"/>
      <c r="D27" s="149"/>
      <c r="E27" s="94"/>
      <c r="F27" s="94"/>
      <c r="G27" s="94"/>
      <c r="H27" s="94"/>
      <c r="I27" s="94"/>
      <c r="J27" s="94"/>
      <c r="K27" s="46"/>
    </row>
    <row r="28" spans="2:11" s="45" customFormat="1" x14ac:dyDescent="0.25">
      <c r="B28" s="48">
        <v>4</v>
      </c>
      <c r="C28" s="191" t="s">
        <v>169</v>
      </c>
      <c r="D28" s="149"/>
      <c r="E28" s="94"/>
      <c r="F28" s="94"/>
      <c r="G28" s="94"/>
      <c r="H28" s="94"/>
      <c r="I28" s="94"/>
      <c r="J28" s="94"/>
      <c r="K28" s="46"/>
    </row>
    <row r="29" spans="2:11" s="45" customFormat="1" x14ac:dyDescent="0.25">
      <c r="B29" s="149">
        <f>B28+0.1</f>
        <v>4.0999999999999996</v>
      </c>
      <c r="C29" s="150" t="s">
        <v>580</v>
      </c>
      <c r="D29" s="149" t="s">
        <v>112</v>
      </c>
      <c r="E29" s="311">
        <f>E10*E24*24*(28+31)/1000</f>
        <v>794.37599999999998</v>
      </c>
      <c r="F29" s="311">
        <f>F10*F24*24*365/1000</f>
        <v>4914.3599999999997</v>
      </c>
      <c r="G29" s="311">
        <f>G10*G24*24*365/1000</f>
        <v>4914.3599999999997</v>
      </c>
      <c r="H29" s="311">
        <f>H10*H24*24*366/1000</f>
        <v>4927.8239999999996</v>
      </c>
      <c r="I29" s="311">
        <f t="shared" ref="I29:J29" si="1">I10*I24*24*365/1000</f>
        <v>4914.3599999999997</v>
      </c>
      <c r="J29" s="311">
        <f t="shared" si="1"/>
        <v>4914.3599999999997</v>
      </c>
      <c r="K29" s="46"/>
    </row>
    <row r="30" spans="2:11" s="45" customFormat="1" x14ac:dyDescent="0.25">
      <c r="B30" s="149">
        <v>4.2</v>
      </c>
      <c r="C30" s="150" t="s">
        <v>586</v>
      </c>
      <c r="D30" s="149" t="s">
        <v>112</v>
      </c>
      <c r="E30" s="309"/>
      <c r="F30" s="309"/>
      <c r="G30" s="309"/>
      <c r="H30" s="309"/>
      <c r="I30" s="309"/>
      <c r="J30" s="309"/>
      <c r="K30" s="46"/>
    </row>
    <row r="31" spans="2:11" s="45" customFormat="1" x14ac:dyDescent="0.25">
      <c r="B31" s="149"/>
      <c r="C31" s="151"/>
      <c r="D31" s="149"/>
      <c r="E31" s="94"/>
      <c r="F31" s="94"/>
      <c r="G31" s="94"/>
      <c r="H31" s="94"/>
      <c r="I31" s="94"/>
      <c r="J31" s="94"/>
      <c r="K31" s="46"/>
    </row>
    <row r="32" spans="2:11" s="45" customFormat="1" x14ac:dyDescent="0.25">
      <c r="B32" s="48">
        <v>5</v>
      </c>
      <c r="C32" s="192" t="s">
        <v>372</v>
      </c>
      <c r="D32" s="149"/>
      <c r="E32" s="94"/>
      <c r="F32" s="94"/>
      <c r="G32" s="94"/>
      <c r="H32" s="94"/>
      <c r="I32" s="94"/>
      <c r="J32" s="94"/>
      <c r="K32" s="46"/>
    </row>
    <row r="33" spans="2:11" s="45" customFormat="1" x14ac:dyDescent="0.25">
      <c r="B33" s="149">
        <f>B32+0.1</f>
        <v>5.0999999999999996</v>
      </c>
      <c r="C33" s="151" t="s">
        <v>113</v>
      </c>
      <c r="D33" s="149" t="s">
        <v>110</v>
      </c>
      <c r="E33" s="312">
        <v>5.7500000000000002E-2</v>
      </c>
      <c r="F33" s="312">
        <v>5.7500000000000002E-2</v>
      </c>
      <c r="G33" s="312">
        <v>5.7500000000000002E-2</v>
      </c>
      <c r="H33" s="312">
        <v>5.7500000000000002E-2</v>
      </c>
      <c r="I33" s="312">
        <v>5.7500000000000002E-2</v>
      </c>
      <c r="J33" s="312">
        <v>5.7500000000000002E-2</v>
      </c>
      <c r="K33" s="46"/>
    </row>
    <row r="34" spans="2:11" s="45" customFormat="1" ht="28" x14ac:dyDescent="0.25">
      <c r="B34" s="149">
        <v>5.2</v>
      </c>
      <c r="C34" s="151" t="s">
        <v>572</v>
      </c>
      <c r="D34" s="149" t="s">
        <v>110</v>
      </c>
      <c r="E34" s="313">
        <v>6.9500000000000006E-2</v>
      </c>
      <c r="F34" s="313">
        <v>6.9500000000000006E-2</v>
      </c>
      <c r="G34" s="313">
        <v>6.9500000000000006E-2</v>
      </c>
      <c r="H34" s="313">
        <v>6.9500000000000006E-2</v>
      </c>
      <c r="I34" s="313">
        <v>6.9500000000000006E-2</v>
      </c>
      <c r="J34" s="313">
        <v>6.9500000000000006E-2</v>
      </c>
      <c r="K34" s="46"/>
    </row>
    <row r="35" spans="2:11" s="45" customFormat="1" ht="28" x14ac:dyDescent="0.25">
      <c r="B35" s="149">
        <v>5.3</v>
      </c>
      <c r="C35" s="151" t="s">
        <v>574</v>
      </c>
      <c r="D35" s="149" t="s">
        <v>110</v>
      </c>
      <c r="E35" s="313">
        <f t="shared" ref="E35:J36" si="2">E33</f>
        <v>5.7500000000000002E-2</v>
      </c>
      <c r="F35" s="313">
        <f t="shared" si="2"/>
        <v>5.7500000000000002E-2</v>
      </c>
      <c r="G35" s="313">
        <f t="shared" si="2"/>
        <v>5.7500000000000002E-2</v>
      </c>
      <c r="H35" s="313">
        <f t="shared" si="2"/>
        <v>5.7500000000000002E-2</v>
      </c>
      <c r="I35" s="313">
        <f t="shared" si="2"/>
        <v>5.7500000000000002E-2</v>
      </c>
      <c r="J35" s="313">
        <f t="shared" si="2"/>
        <v>5.7500000000000002E-2</v>
      </c>
      <c r="K35" s="46"/>
    </row>
    <row r="36" spans="2:11" s="45" customFormat="1" ht="28" x14ac:dyDescent="0.25">
      <c r="B36" s="149">
        <v>5.4</v>
      </c>
      <c r="C36" s="151" t="s">
        <v>573</v>
      </c>
      <c r="D36" s="149" t="s">
        <v>110</v>
      </c>
      <c r="E36" s="313">
        <f t="shared" si="2"/>
        <v>6.9500000000000006E-2</v>
      </c>
      <c r="F36" s="313">
        <f t="shared" si="2"/>
        <v>6.9500000000000006E-2</v>
      </c>
      <c r="G36" s="313">
        <f t="shared" si="2"/>
        <v>6.9500000000000006E-2</v>
      </c>
      <c r="H36" s="313">
        <f t="shared" si="2"/>
        <v>6.9500000000000006E-2</v>
      </c>
      <c r="I36" s="313">
        <f t="shared" si="2"/>
        <v>6.9500000000000006E-2</v>
      </c>
      <c r="J36" s="313">
        <f t="shared" si="2"/>
        <v>6.9500000000000006E-2</v>
      </c>
      <c r="K36" s="46"/>
    </row>
    <row r="37" spans="2:11" s="45" customFormat="1" ht="28" x14ac:dyDescent="0.25">
      <c r="B37" s="149">
        <v>5.5</v>
      </c>
      <c r="C37" s="151" t="s">
        <v>574</v>
      </c>
      <c r="D37" s="149" t="s">
        <v>112</v>
      </c>
      <c r="E37" s="318">
        <f t="shared" ref="E37:J37" si="3">E29*E35</f>
        <v>45.67662</v>
      </c>
      <c r="F37" s="318">
        <f t="shared" si="3"/>
        <v>282.57569999999998</v>
      </c>
      <c r="G37" s="318">
        <f t="shared" si="3"/>
        <v>282.57569999999998</v>
      </c>
      <c r="H37" s="318">
        <f t="shared" si="3"/>
        <v>283.34987999999998</v>
      </c>
      <c r="I37" s="318">
        <f t="shared" si="3"/>
        <v>282.57569999999998</v>
      </c>
      <c r="J37" s="318">
        <f t="shared" si="3"/>
        <v>282.57569999999998</v>
      </c>
      <c r="K37" s="46"/>
    </row>
    <row r="38" spans="2:11" s="45" customFormat="1" ht="28" x14ac:dyDescent="0.25">
      <c r="B38" s="149">
        <v>5.6</v>
      </c>
      <c r="C38" s="151" t="s">
        <v>573</v>
      </c>
      <c r="D38" s="149" t="s">
        <v>112</v>
      </c>
      <c r="E38" s="335">
        <f t="shared" ref="E38:J38" si="4">E29*E36</f>
        <v>55.209132000000004</v>
      </c>
      <c r="F38" s="335">
        <f t="shared" si="4"/>
        <v>341.54802000000001</v>
      </c>
      <c r="G38" s="335">
        <f t="shared" si="4"/>
        <v>341.54802000000001</v>
      </c>
      <c r="H38" s="335">
        <f t="shared" si="4"/>
        <v>342.483768</v>
      </c>
      <c r="I38" s="335">
        <f t="shared" si="4"/>
        <v>341.54802000000001</v>
      </c>
      <c r="J38" s="335">
        <f t="shared" si="4"/>
        <v>341.54802000000001</v>
      </c>
      <c r="K38" s="46"/>
    </row>
    <row r="39" spans="2:11" s="45" customFormat="1" x14ac:dyDescent="0.25">
      <c r="B39" s="149"/>
      <c r="C39" s="151"/>
      <c r="D39" s="149"/>
      <c r="E39" s="94"/>
      <c r="F39" s="94"/>
      <c r="G39" s="94"/>
      <c r="H39" s="94"/>
      <c r="I39" s="94"/>
      <c r="J39" s="94"/>
      <c r="K39" s="46"/>
    </row>
    <row r="40" spans="2:11" s="45" customFormat="1" x14ac:dyDescent="0.25">
      <c r="B40" s="48">
        <v>6</v>
      </c>
      <c r="C40" s="192" t="s">
        <v>114</v>
      </c>
      <c r="D40" s="149"/>
      <c r="E40" s="94"/>
      <c r="F40" s="94"/>
      <c r="G40" s="94"/>
      <c r="H40" s="94"/>
      <c r="I40" s="94"/>
      <c r="J40" s="94"/>
      <c r="K40" s="46"/>
    </row>
    <row r="41" spans="2:11" s="45" customFormat="1" x14ac:dyDescent="0.25">
      <c r="B41" s="149">
        <v>6.1</v>
      </c>
      <c r="C41" s="150" t="s">
        <v>584</v>
      </c>
      <c r="D41" s="149" t="s">
        <v>112</v>
      </c>
      <c r="E41" s="336">
        <f>E29-E38</f>
        <v>739.16686800000002</v>
      </c>
      <c r="F41" s="336">
        <f>F29-F38</f>
        <v>4572.8119799999995</v>
      </c>
      <c r="G41" s="336">
        <f t="shared" ref="G41:J41" si="5">G29-G38</f>
        <v>4572.8119799999995</v>
      </c>
      <c r="H41" s="336">
        <f t="shared" si="5"/>
        <v>4585.3402319999996</v>
      </c>
      <c r="I41" s="336">
        <f t="shared" si="5"/>
        <v>4572.8119799999995</v>
      </c>
      <c r="J41" s="336">
        <f t="shared" si="5"/>
        <v>4572.8119799999995</v>
      </c>
      <c r="K41" s="46"/>
    </row>
    <row r="42" spans="2:11" s="45" customFormat="1" x14ac:dyDescent="0.25">
      <c r="B42" s="149">
        <v>6.2</v>
      </c>
      <c r="C42" s="150" t="s">
        <v>585</v>
      </c>
      <c r="D42" s="149" t="s">
        <v>112</v>
      </c>
      <c r="E42" s="309"/>
      <c r="F42" s="309"/>
      <c r="G42" s="309"/>
      <c r="H42" s="309"/>
      <c r="I42" s="309"/>
      <c r="J42" s="309"/>
      <c r="K42" s="46"/>
    </row>
    <row r="43" spans="2:11" s="45" customFormat="1" x14ac:dyDescent="0.25">
      <c r="B43" s="149"/>
      <c r="C43" s="151"/>
      <c r="D43" s="149"/>
      <c r="E43" s="94"/>
      <c r="F43" s="94"/>
      <c r="G43" s="94"/>
      <c r="H43" s="94"/>
      <c r="I43" s="94"/>
      <c r="J43" s="94"/>
      <c r="K43" s="46"/>
    </row>
    <row r="44" spans="2:11" s="45" customFormat="1" x14ac:dyDescent="0.25">
      <c r="B44" s="48">
        <v>7</v>
      </c>
      <c r="C44" s="192" t="s">
        <v>452</v>
      </c>
      <c r="D44" s="149"/>
      <c r="E44" s="94"/>
      <c r="F44" s="94"/>
      <c r="G44" s="94"/>
      <c r="H44" s="94"/>
      <c r="I44" s="94"/>
      <c r="J44" s="94"/>
      <c r="K44" s="46"/>
    </row>
    <row r="45" spans="2:11" s="45" customFormat="1" x14ac:dyDescent="0.25">
      <c r="B45" s="149">
        <f>B44+0.1</f>
        <v>7.1</v>
      </c>
      <c r="C45" s="151" t="s">
        <v>115</v>
      </c>
      <c r="D45" s="149" t="s">
        <v>116</v>
      </c>
      <c r="E45" s="315">
        <v>2139.0505617977528</v>
      </c>
      <c r="F45" s="315">
        <v>2139.0505617977528</v>
      </c>
      <c r="G45" s="315">
        <v>2139.0505617977528</v>
      </c>
      <c r="H45" s="315">
        <v>2139.0505617977528</v>
      </c>
      <c r="I45" s="315">
        <v>2139.0505617977528</v>
      </c>
      <c r="J45" s="315">
        <v>2139.0505617977528</v>
      </c>
      <c r="K45" s="46"/>
    </row>
    <row r="46" spans="2:11" s="45" customFormat="1" x14ac:dyDescent="0.25">
      <c r="B46" s="149">
        <f>B45+0.1</f>
        <v>7.1999999999999993</v>
      </c>
      <c r="C46" s="150" t="s">
        <v>326</v>
      </c>
      <c r="D46" s="149" t="s">
        <v>116</v>
      </c>
      <c r="E46" s="315">
        <f t="shared" ref="E46:J46" si="6">E45</f>
        <v>2139.0505617977528</v>
      </c>
      <c r="F46" s="315">
        <f t="shared" si="6"/>
        <v>2139.0505617977528</v>
      </c>
      <c r="G46" s="315">
        <f t="shared" si="6"/>
        <v>2139.0505617977528</v>
      </c>
      <c r="H46" s="315">
        <f t="shared" si="6"/>
        <v>2139.0505617977528</v>
      </c>
      <c r="I46" s="315">
        <f t="shared" si="6"/>
        <v>2139.0505617977528</v>
      </c>
      <c r="J46" s="315">
        <f t="shared" si="6"/>
        <v>2139.0505617977528</v>
      </c>
      <c r="K46" s="46"/>
    </row>
    <row r="47" spans="2:11" s="45" customFormat="1" x14ac:dyDescent="0.25">
      <c r="B47" s="149"/>
      <c r="C47" s="150"/>
      <c r="D47" s="149"/>
      <c r="E47" s="94"/>
      <c r="F47" s="94"/>
      <c r="G47" s="94"/>
      <c r="H47" s="94"/>
      <c r="I47" s="94"/>
      <c r="J47" s="94"/>
      <c r="K47" s="46"/>
    </row>
    <row r="48" spans="2:11" s="45" customFormat="1" x14ac:dyDescent="0.25">
      <c r="B48" s="48">
        <v>8</v>
      </c>
      <c r="C48" s="191" t="s">
        <v>388</v>
      </c>
      <c r="D48" s="149"/>
      <c r="E48" s="94"/>
      <c r="F48" s="94"/>
      <c r="G48" s="94"/>
      <c r="H48" s="94"/>
      <c r="I48" s="94"/>
      <c r="J48" s="94"/>
      <c r="K48" s="46"/>
    </row>
    <row r="49" spans="2:11" s="45" customFormat="1" x14ac:dyDescent="0.25">
      <c r="B49" s="149">
        <f>B48+0.1</f>
        <v>8.1</v>
      </c>
      <c r="C49" s="150" t="s">
        <v>117</v>
      </c>
      <c r="D49" s="149" t="s">
        <v>118</v>
      </c>
      <c r="E49" s="314">
        <v>0.5</v>
      </c>
      <c r="F49" s="314">
        <v>0.5</v>
      </c>
      <c r="G49" s="314">
        <v>0.5</v>
      </c>
      <c r="H49" s="314">
        <v>0.5</v>
      </c>
      <c r="I49" s="314">
        <v>0.5</v>
      </c>
      <c r="J49" s="314">
        <v>0.5</v>
      </c>
      <c r="K49" s="46"/>
    </row>
    <row r="50" spans="2:11" s="45" customFormat="1" x14ac:dyDescent="0.25">
      <c r="B50" s="149">
        <f>B49+0.1</f>
        <v>8.1999999999999993</v>
      </c>
      <c r="C50" s="150" t="s">
        <v>327</v>
      </c>
      <c r="D50" s="149" t="s">
        <v>118</v>
      </c>
      <c r="E50" s="314">
        <f t="shared" ref="E50:J50" si="7">E49</f>
        <v>0.5</v>
      </c>
      <c r="F50" s="314">
        <f t="shared" si="7"/>
        <v>0.5</v>
      </c>
      <c r="G50" s="314">
        <f t="shared" si="7"/>
        <v>0.5</v>
      </c>
      <c r="H50" s="314">
        <f t="shared" si="7"/>
        <v>0.5</v>
      </c>
      <c r="I50" s="314">
        <f t="shared" si="7"/>
        <v>0.5</v>
      </c>
      <c r="J50" s="314">
        <f t="shared" si="7"/>
        <v>0.5</v>
      </c>
      <c r="K50" s="46"/>
    </row>
    <row r="51" spans="2:11" s="45" customFormat="1" x14ac:dyDescent="0.25">
      <c r="B51" s="149"/>
      <c r="C51" s="150"/>
      <c r="D51" s="149"/>
      <c r="E51" s="94"/>
      <c r="F51" s="94"/>
      <c r="G51" s="94"/>
      <c r="H51" s="94"/>
      <c r="I51" s="94"/>
      <c r="J51" s="94"/>
      <c r="K51" s="46"/>
    </row>
    <row r="52" spans="2:11" s="45" customFormat="1" x14ac:dyDescent="0.25">
      <c r="B52" s="48">
        <v>9</v>
      </c>
      <c r="C52" s="191" t="s">
        <v>158</v>
      </c>
      <c r="D52" s="149"/>
      <c r="E52" s="94"/>
      <c r="F52" s="94"/>
      <c r="G52" s="94"/>
      <c r="H52" s="94"/>
      <c r="I52" s="94"/>
      <c r="J52" s="94"/>
      <c r="K52" s="46"/>
    </row>
    <row r="53" spans="2:11" s="45" customFormat="1" x14ac:dyDescent="0.25">
      <c r="B53" s="149">
        <f>B52+0.1</f>
        <v>9.1</v>
      </c>
      <c r="C53" s="150" t="s">
        <v>119</v>
      </c>
      <c r="D53" s="149" t="s">
        <v>110</v>
      </c>
      <c r="E53" s="312">
        <v>8.0000000000000002E-3</v>
      </c>
      <c r="F53" s="312">
        <v>8.0000000000000002E-3</v>
      </c>
      <c r="G53" s="312">
        <v>8.0000000000000002E-3</v>
      </c>
      <c r="H53" s="312">
        <v>8.0000000000000002E-3</v>
      </c>
      <c r="I53" s="312">
        <v>8.0000000000000002E-3</v>
      </c>
      <c r="J53" s="312">
        <v>8.0000000000000002E-3</v>
      </c>
      <c r="K53" s="46"/>
    </row>
    <row r="54" spans="2:11" s="45" customFormat="1" x14ac:dyDescent="0.25">
      <c r="B54" s="149">
        <f>B53+0.1</f>
        <v>9.1999999999999993</v>
      </c>
      <c r="C54" s="150" t="s">
        <v>328</v>
      </c>
      <c r="D54" s="149" t="s">
        <v>110</v>
      </c>
      <c r="E54" s="312">
        <f t="shared" ref="E54:J54" si="8">E53</f>
        <v>8.0000000000000002E-3</v>
      </c>
      <c r="F54" s="312">
        <f t="shared" si="8"/>
        <v>8.0000000000000002E-3</v>
      </c>
      <c r="G54" s="312">
        <f t="shared" si="8"/>
        <v>8.0000000000000002E-3</v>
      </c>
      <c r="H54" s="312">
        <f t="shared" si="8"/>
        <v>8.0000000000000002E-3</v>
      </c>
      <c r="I54" s="312">
        <f t="shared" si="8"/>
        <v>8.0000000000000002E-3</v>
      </c>
      <c r="J54" s="312">
        <f t="shared" si="8"/>
        <v>8.0000000000000002E-3</v>
      </c>
      <c r="K54" s="46"/>
    </row>
    <row r="55" spans="2:11" s="45" customFormat="1" x14ac:dyDescent="0.25">
      <c r="B55" s="188"/>
      <c r="C55" s="189"/>
      <c r="D55" s="190"/>
      <c r="E55" s="43"/>
      <c r="F55" s="43"/>
      <c r="G55" s="43"/>
      <c r="H55" s="43"/>
      <c r="I55" s="43"/>
      <c r="J55" s="43"/>
    </row>
  </sheetData>
  <mergeCells count="8">
    <mergeCell ref="B2:K2"/>
    <mergeCell ref="B3:K3"/>
    <mergeCell ref="B4:K4"/>
    <mergeCell ref="B5:K5"/>
    <mergeCell ref="B7:B8"/>
    <mergeCell ref="C7:C8"/>
    <mergeCell ref="D7:D8"/>
    <mergeCell ref="K7:K8"/>
  </mergeCells>
  <pageMargins left="1.41" right="0.5" top="0.43" bottom="0.63" header="0.5" footer="0.5"/>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161"/>
  <sheetViews>
    <sheetView showGridLines="0" view="pageBreakPreview" topLeftCell="A116" zoomScale="60" zoomScaleNormal="80" workbookViewId="0">
      <selection activeCell="E125" sqref="E125:J125"/>
    </sheetView>
  </sheetViews>
  <sheetFormatPr defaultColWidth="9.1796875" defaultRowHeight="14" x14ac:dyDescent="0.3"/>
  <cols>
    <col min="1" max="1" width="4.1796875" style="9" customWidth="1"/>
    <col min="2" max="2" width="7.54296875" style="44" customWidth="1"/>
    <col min="3" max="3" width="43.26953125" style="9" customWidth="1"/>
    <col min="4" max="4" width="15.7265625" style="55" customWidth="1"/>
    <col min="5" max="5" width="17.1796875" style="9" customWidth="1"/>
    <col min="6" max="10" width="16.453125" style="9" customWidth="1"/>
    <col min="11" max="11" width="15.7265625" style="9" customWidth="1"/>
    <col min="12" max="12" width="9.1796875" style="9" customWidth="1"/>
    <col min="13" max="16384" width="9.1796875" style="9"/>
  </cols>
  <sheetData>
    <row r="2" spans="2:11" x14ac:dyDescent="0.3">
      <c r="B2" s="447" t="s">
        <v>628</v>
      </c>
      <c r="C2" s="439"/>
      <c r="D2" s="439"/>
      <c r="E2" s="439"/>
      <c r="F2" s="439"/>
      <c r="G2" s="439"/>
      <c r="H2" s="439"/>
      <c r="I2" s="439"/>
      <c r="J2" s="439"/>
      <c r="K2" s="439"/>
    </row>
    <row r="3" spans="2:11" x14ac:dyDescent="0.3">
      <c r="B3" s="448" t="s">
        <v>570</v>
      </c>
      <c r="C3" s="439"/>
      <c r="D3" s="439"/>
      <c r="E3" s="439"/>
      <c r="F3" s="439"/>
      <c r="G3" s="439"/>
      <c r="H3" s="439"/>
      <c r="I3" s="439"/>
      <c r="J3" s="439"/>
      <c r="K3" s="439"/>
    </row>
    <row r="4" spans="2:11" x14ac:dyDescent="0.3">
      <c r="B4" s="448" t="s">
        <v>395</v>
      </c>
      <c r="C4" s="439"/>
      <c r="D4" s="439"/>
      <c r="E4" s="439"/>
      <c r="F4" s="439"/>
      <c r="G4" s="439"/>
      <c r="H4" s="439"/>
      <c r="I4" s="439"/>
      <c r="J4" s="439"/>
      <c r="K4" s="439"/>
    </row>
    <row r="5" spans="2:11" s="24" customFormat="1" x14ac:dyDescent="0.25">
      <c r="B5" s="447" t="s">
        <v>629</v>
      </c>
      <c r="C5" s="439"/>
      <c r="D5" s="439"/>
      <c r="E5" s="439"/>
      <c r="F5" s="439"/>
      <c r="G5" s="439"/>
      <c r="H5" s="439"/>
      <c r="I5" s="439"/>
      <c r="J5" s="439"/>
      <c r="K5" s="439"/>
    </row>
    <row r="6" spans="2:11" s="24" customFormat="1" x14ac:dyDescent="0.3">
      <c r="B6" s="194"/>
      <c r="C6" s="16"/>
      <c r="D6" s="43"/>
      <c r="E6" s="42"/>
      <c r="F6" s="42"/>
      <c r="G6" s="42"/>
      <c r="H6" s="42"/>
      <c r="I6" s="42"/>
      <c r="J6" s="42"/>
    </row>
    <row r="7" spans="2:11" s="90" customFormat="1" ht="21" customHeight="1" x14ac:dyDescent="0.25">
      <c r="B7" s="452" t="s">
        <v>351</v>
      </c>
      <c r="C7" s="462" t="s">
        <v>49</v>
      </c>
      <c r="D7" s="462" t="s">
        <v>105</v>
      </c>
      <c r="E7" s="298" t="str">
        <f>'F1'!$E$7</f>
        <v>FY 2024-25</v>
      </c>
      <c r="F7" s="298" t="str">
        <f>'F1'!$F$7</f>
        <v>FY 2025-26</v>
      </c>
      <c r="G7" s="298" t="str">
        <f>'F1'!$G$7</f>
        <v>FY 2026-27</v>
      </c>
      <c r="H7" s="298" t="str">
        <f>'F1'!$H$7</f>
        <v>FY 2027-28</v>
      </c>
      <c r="I7" s="298" t="str">
        <f>'F1'!$I$7</f>
        <v>FY 2028-29</v>
      </c>
      <c r="J7" s="298" t="str">
        <f>'F1'!$J$7</f>
        <v>FY 2029-30</v>
      </c>
      <c r="K7" s="452" t="s">
        <v>40</v>
      </c>
    </row>
    <row r="8" spans="2:11" s="90" customFormat="1" ht="28" x14ac:dyDescent="0.25">
      <c r="B8" s="462"/>
      <c r="C8" s="462"/>
      <c r="D8" s="462"/>
      <c r="E8" s="285" t="s">
        <v>569</v>
      </c>
      <c r="F8" s="285" t="s">
        <v>569</v>
      </c>
      <c r="G8" s="384" t="str">
        <f>'F1'!$G$8</f>
        <v>Projection</v>
      </c>
      <c r="H8" s="400" t="str">
        <f>'F1'!$H$8</f>
        <v>Projection</v>
      </c>
      <c r="I8" s="400" t="str">
        <f>'F1'!$I$8</f>
        <v>Projection</v>
      </c>
      <c r="J8" s="400" t="str">
        <f>'F1'!$J$8</f>
        <v>Projection</v>
      </c>
      <c r="K8" s="452"/>
    </row>
    <row r="9" spans="2:11" s="45" customFormat="1" x14ac:dyDescent="0.3">
      <c r="B9" s="195"/>
      <c r="C9" s="146"/>
      <c r="D9" s="146"/>
      <c r="E9" s="48"/>
      <c r="F9" s="48"/>
      <c r="G9" s="48"/>
      <c r="H9" s="48"/>
      <c r="I9" s="48"/>
      <c r="J9" s="48"/>
      <c r="K9" s="46"/>
    </row>
    <row r="10" spans="2:11" s="45" customFormat="1" x14ac:dyDescent="0.3">
      <c r="B10" s="196">
        <v>1</v>
      </c>
      <c r="C10" s="147" t="s">
        <v>106</v>
      </c>
      <c r="D10" s="148"/>
      <c r="E10" s="46"/>
      <c r="F10" s="46"/>
      <c r="G10" s="46"/>
      <c r="H10" s="46"/>
      <c r="I10" s="46"/>
      <c r="J10" s="46"/>
      <c r="K10" s="46"/>
    </row>
    <row r="11" spans="2:11" s="45" customFormat="1" x14ac:dyDescent="0.3">
      <c r="B11" s="197">
        <f>B10+0.1</f>
        <v>1.1000000000000001</v>
      </c>
      <c r="C11" s="150" t="s">
        <v>107</v>
      </c>
      <c r="D11" s="149" t="s">
        <v>108</v>
      </c>
      <c r="E11" s="306">
        <f>'F2.1'!E10</f>
        <v>660</v>
      </c>
      <c r="F11" s="306">
        <f>'F2.1'!F10</f>
        <v>660</v>
      </c>
      <c r="G11" s="306">
        <f>'F2.1'!G10</f>
        <v>660</v>
      </c>
      <c r="H11" s="306">
        <f>'F2.1'!H10</f>
        <v>660</v>
      </c>
      <c r="I11" s="306">
        <f>'F2.1'!I10</f>
        <v>660</v>
      </c>
      <c r="J11" s="306">
        <f>'F2.1'!J10</f>
        <v>660</v>
      </c>
      <c r="K11" s="46"/>
    </row>
    <row r="12" spans="2:11" s="45" customFormat="1" x14ac:dyDescent="0.3">
      <c r="B12" s="197">
        <f>B11+0.1</f>
        <v>1.2000000000000002</v>
      </c>
      <c r="C12" s="150" t="s">
        <v>109</v>
      </c>
      <c r="D12" s="149" t="s">
        <v>110</v>
      </c>
      <c r="E12" s="307">
        <f>'F2.1'!E14</f>
        <v>0.85</v>
      </c>
      <c r="F12" s="307">
        <f>'F2.1'!F14</f>
        <v>0.85</v>
      </c>
      <c r="G12" s="307">
        <f>'F2.1'!G14</f>
        <v>0.85</v>
      </c>
      <c r="H12" s="307">
        <f>'F2.1'!H14</f>
        <v>0.85</v>
      </c>
      <c r="I12" s="307">
        <f>'F2.1'!I14</f>
        <v>0.85</v>
      </c>
      <c r="J12" s="307">
        <f>'F2.1'!J14</f>
        <v>0.85</v>
      </c>
      <c r="K12" s="46"/>
    </row>
    <row r="13" spans="2:11" s="45" customFormat="1" x14ac:dyDescent="0.3">
      <c r="B13" s="197">
        <v>1.3</v>
      </c>
      <c r="C13" s="150" t="s">
        <v>576</v>
      </c>
      <c r="D13" s="149" t="s">
        <v>110</v>
      </c>
      <c r="E13" s="307">
        <f>'F2.1'!E15</f>
        <v>0.85</v>
      </c>
      <c r="F13" s="307">
        <f>'F2.1'!F15</f>
        <v>0.85</v>
      </c>
      <c r="G13" s="307">
        <f>'F2.1'!G15</f>
        <v>0.85</v>
      </c>
      <c r="H13" s="307">
        <f>'F2.1'!H15</f>
        <v>0.85</v>
      </c>
      <c r="I13" s="307">
        <f>'F2.1'!I15</f>
        <v>0.85</v>
      </c>
      <c r="J13" s="307">
        <f>'F2.1'!J15</f>
        <v>0.85</v>
      </c>
      <c r="K13" s="46"/>
    </row>
    <row r="14" spans="2:11" s="45" customFormat="1" x14ac:dyDescent="0.3">
      <c r="B14" s="197" t="s">
        <v>577</v>
      </c>
      <c r="C14" s="282" t="s">
        <v>550</v>
      </c>
      <c r="D14" s="149" t="s">
        <v>110</v>
      </c>
      <c r="E14" s="47"/>
      <c r="F14" s="47"/>
      <c r="G14" s="47"/>
      <c r="H14" s="47"/>
      <c r="I14" s="47"/>
      <c r="J14" s="47"/>
      <c r="K14" s="46"/>
    </row>
    <row r="15" spans="2:11" s="45" customFormat="1" x14ac:dyDescent="0.3">
      <c r="B15" s="197"/>
      <c r="C15" s="283" t="s">
        <v>551</v>
      </c>
      <c r="D15" s="149" t="s">
        <v>110</v>
      </c>
      <c r="E15" s="47"/>
      <c r="F15" s="47"/>
      <c r="G15" s="47"/>
      <c r="H15" s="47"/>
      <c r="I15" s="47"/>
      <c r="J15" s="47"/>
      <c r="K15" s="46"/>
    </row>
    <row r="16" spans="2:11" s="45" customFormat="1" x14ac:dyDescent="0.3">
      <c r="B16" s="197"/>
      <c r="C16" s="283" t="s">
        <v>552</v>
      </c>
      <c r="D16" s="149" t="s">
        <v>110</v>
      </c>
      <c r="E16" s="47"/>
      <c r="F16" s="47"/>
      <c r="G16" s="47"/>
      <c r="H16" s="47"/>
      <c r="I16" s="47"/>
      <c r="J16" s="47"/>
      <c r="K16" s="46"/>
    </row>
    <row r="17" spans="2:11" s="45" customFormat="1" x14ac:dyDescent="0.3">
      <c r="B17" s="197" t="s">
        <v>578</v>
      </c>
      <c r="C17" s="282" t="s">
        <v>553</v>
      </c>
      <c r="D17" s="149" t="s">
        <v>110</v>
      </c>
      <c r="E17" s="47"/>
      <c r="F17" s="47"/>
      <c r="G17" s="47"/>
      <c r="H17" s="47"/>
      <c r="I17" s="47"/>
      <c r="J17" s="47"/>
      <c r="K17" s="46"/>
    </row>
    <row r="18" spans="2:11" s="45" customFormat="1" x14ac:dyDescent="0.3">
      <c r="B18" s="197"/>
      <c r="C18" s="283" t="s">
        <v>551</v>
      </c>
      <c r="D18" s="149" t="s">
        <v>110</v>
      </c>
      <c r="E18" s="47"/>
      <c r="F18" s="47"/>
      <c r="G18" s="47"/>
      <c r="H18" s="47"/>
      <c r="I18" s="47"/>
      <c r="J18" s="47"/>
      <c r="K18" s="46"/>
    </row>
    <row r="19" spans="2:11" s="45" customFormat="1" x14ac:dyDescent="0.3">
      <c r="B19" s="197"/>
      <c r="C19" s="283" t="s">
        <v>552</v>
      </c>
      <c r="D19" s="149" t="s">
        <v>110</v>
      </c>
      <c r="E19" s="47"/>
      <c r="F19" s="47"/>
      <c r="G19" s="47"/>
      <c r="H19" s="47"/>
      <c r="I19" s="47"/>
      <c r="J19" s="47"/>
      <c r="K19" s="46"/>
    </row>
    <row r="20" spans="2:11" s="45" customFormat="1" x14ac:dyDescent="0.3">
      <c r="B20" s="197">
        <v>1.4</v>
      </c>
      <c r="C20" s="150" t="s">
        <v>111</v>
      </c>
      <c r="D20" s="149" t="s">
        <v>110</v>
      </c>
      <c r="E20" s="308">
        <f>'F2.1'!E24</f>
        <v>0.85</v>
      </c>
      <c r="F20" s="308">
        <f>'F2.1'!F24</f>
        <v>0.85</v>
      </c>
      <c r="G20" s="308">
        <f>'F2.1'!G24</f>
        <v>0.85</v>
      </c>
      <c r="H20" s="308">
        <f>'F2.1'!H24</f>
        <v>0.85</v>
      </c>
      <c r="I20" s="308">
        <f>'F2.1'!I24</f>
        <v>0.85</v>
      </c>
      <c r="J20" s="308">
        <f>'F2.1'!J24</f>
        <v>0.85</v>
      </c>
      <c r="K20" s="46"/>
    </row>
    <row r="21" spans="2:11" s="45" customFormat="1" x14ac:dyDescent="0.3">
      <c r="B21" s="197">
        <v>1.5</v>
      </c>
      <c r="C21" s="150" t="s">
        <v>579</v>
      </c>
      <c r="D21" s="149" t="s">
        <v>110</v>
      </c>
      <c r="E21" s="308">
        <f>'F2.1'!E25</f>
        <v>0.85</v>
      </c>
      <c r="F21" s="308">
        <f>'F2.1'!F25</f>
        <v>0.85</v>
      </c>
      <c r="G21" s="308">
        <f>'F2.1'!G25</f>
        <v>0.85</v>
      </c>
      <c r="H21" s="308">
        <f>'F2.1'!H25</f>
        <v>0.85</v>
      </c>
      <c r="I21" s="308">
        <f>'F2.1'!I25</f>
        <v>0.85</v>
      </c>
      <c r="J21" s="308">
        <f>'F2.1'!J25</f>
        <v>0.85</v>
      </c>
      <c r="K21" s="46"/>
    </row>
    <row r="22" spans="2:11" s="45" customFormat="1" x14ac:dyDescent="0.3">
      <c r="B22" s="197">
        <v>1.6</v>
      </c>
      <c r="C22" s="261" t="s">
        <v>571</v>
      </c>
      <c r="D22" s="149" t="s">
        <v>110</v>
      </c>
      <c r="E22" s="227"/>
      <c r="F22" s="227"/>
      <c r="G22" s="227"/>
      <c r="H22" s="227"/>
      <c r="I22" s="227"/>
      <c r="J22" s="227"/>
      <c r="K22" s="46"/>
    </row>
    <row r="23" spans="2:11" s="45" customFormat="1" x14ac:dyDescent="0.3">
      <c r="B23" s="197">
        <v>1.7</v>
      </c>
      <c r="C23" s="151" t="s">
        <v>580</v>
      </c>
      <c r="D23" s="149" t="s">
        <v>112</v>
      </c>
      <c r="E23" s="317">
        <f>'F2.1'!E29</f>
        <v>794.37599999999998</v>
      </c>
      <c r="F23" s="317">
        <f>'F2.1'!F29</f>
        <v>4914.3599999999997</v>
      </c>
      <c r="G23" s="317">
        <f>'F2.1'!G29</f>
        <v>4914.3599999999997</v>
      </c>
      <c r="H23" s="317">
        <f>'F2.1'!H29</f>
        <v>4927.8239999999996</v>
      </c>
      <c r="I23" s="317">
        <f>'F2.1'!I29</f>
        <v>4914.3599999999997</v>
      </c>
      <c r="J23" s="317">
        <f>'F2.1'!J29</f>
        <v>4914.3599999999997</v>
      </c>
      <c r="K23" s="80"/>
    </row>
    <row r="24" spans="2:11" s="45" customFormat="1" x14ac:dyDescent="0.3">
      <c r="B24" s="197">
        <v>1.8</v>
      </c>
      <c r="C24" s="150" t="s">
        <v>586</v>
      </c>
      <c r="D24" s="149" t="s">
        <v>112</v>
      </c>
      <c r="E24" s="227"/>
      <c r="F24" s="227"/>
      <c r="G24" s="227"/>
      <c r="H24" s="227"/>
      <c r="I24" s="227"/>
      <c r="J24" s="227"/>
      <c r="K24" s="46"/>
    </row>
    <row r="25" spans="2:11" s="45" customFormat="1" x14ac:dyDescent="0.3">
      <c r="B25" s="289">
        <v>1.9</v>
      </c>
      <c r="C25" s="151" t="s">
        <v>113</v>
      </c>
      <c r="D25" s="149" t="s">
        <v>110</v>
      </c>
      <c r="E25" s="313">
        <f>'F2.1'!E33</f>
        <v>5.7500000000000002E-2</v>
      </c>
      <c r="F25" s="313">
        <f>'F2.1'!F33</f>
        <v>5.7500000000000002E-2</v>
      </c>
      <c r="G25" s="313">
        <f>'F2.1'!G33</f>
        <v>5.7500000000000002E-2</v>
      </c>
      <c r="H25" s="313">
        <f>'F2.1'!H33</f>
        <v>5.7500000000000002E-2</v>
      </c>
      <c r="I25" s="313">
        <f>'F2.1'!I33</f>
        <v>5.7500000000000002E-2</v>
      </c>
      <c r="J25" s="313">
        <f>'F2.1'!J33</f>
        <v>5.7500000000000002E-2</v>
      </c>
      <c r="K25" s="46"/>
    </row>
    <row r="26" spans="2:11" s="45" customFormat="1" ht="28" x14ac:dyDescent="0.25">
      <c r="B26" s="288">
        <v>1.1000000000000001</v>
      </c>
      <c r="C26" s="151" t="s">
        <v>581</v>
      </c>
      <c r="D26" s="149" t="s">
        <v>110</v>
      </c>
      <c r="E26" s="313">
        <f>'F2.1'!E34</f>
        <v>6.9500000000000006E-2</v>
      </c>
      <c r="F26" s="313">
        <f>'F2.1'!F34</f>
        <v>6.9500000000000006E-2</v>
      </c>
      <c r="G26" s="313">
        <f>'F2.1'!G34</f>
        <v>6.9500000000000006E-2</v>
      </c>
      <c r="H26" s="313">
        <f>'F2.1'!H34</f>
        <v>6.9500000000000006E-2</v>
      </c>
      <c r="I26" s="313">
        <f>'F2.1'!I34</f>
        <v>6.9500000000000006E-2</v>
      </c>
      <c r="J26" s="313">
        <f>'F2.1'!J34</f>
        <v>6.9500000000000006E-2</v>
      </c>
      <c r="K26" s="46"/>
    </row>
    <row r="27" spans="2:11" s="45" customFormat="1" ht="28" x14ac:dyDescent="0.25">
      <c r="B27" s="149">
        <v>1.1100000000000001</v>
      </c>
      <c r="C27" s="151" t="s">
        <v>574</v>
      </c>
      <c r="D27" s="149" t="s">
        <v>110</v>
      </c>
      <c r="E27" s="313">
        <f>'F2.1'!E35</f>
        <v>5.7500000000000002E-2</v>
      </c>
      <c r="F27" s="313">
        <f>'F2.1'!F35</f>
        <v>5.7500000000000002E-2</v>
      </c>
      <c r="G27" s="313">
        <f>'F2.1'!G35</f>
        <v>5.7500000000000002E-2</v>
      </c>
      <c r="H27" s="313">
        <f>'F2.1'!H35</f>
        <v>5.7500000000000002E-2</v>
      </c>
      <c r="I27" s="313">
        <f>'F2.1'!I35</f>
        <v>5.7500000000000002E-2</v>
      </c>
      <c r="J27" s="313">
        <f>'F2.1'!J35</f>
        <v>5.7500000000000002E-2</v>
      </c>
      <c r="K27" s="46"/>
    </row>
    <row r="28" spans="2:11" s="45" customFormat="1" ht="28" x14ac:dyDescent="0.25">
      <c r="B28" s="149">
        <v>1.1200000000000001</v>
      </c>
      <c r="C28" s="151" t="s">
        <v>582</v>
      </c>
      <c r="D28" s="149" t="s">
        <v>110</v>
      </c>
      <c r="E28" s="313">
        <f>'F2.1'!E36</f>
        <v>6.9500000000000006E-2</v>
      </c>
      <c r="F28" s="313">
        <f>'F2.1'!F36</f>
        <v>6.9500000000000006E-2</v>
      </c>
      <c r="G28" s="313">
        <f>'F2.1'!G36</f>
        <v>6.9500000000000006E-2</v>
      </c>
      <c r="H28" s="313">
        <f>'F2.1'!H36</f>
        <v>6.9500000000000006E-2</v>
      </c>
      <c r="I28" s="313">
        <f>'F2.1'!I36</f>
        <v>6.9500000000000006E-2</v>
      </c>
      <c r="J28" s="313">
        <f>'F2.1'!J36</f>
        <v>6.9500000000000006E-2</v>
      </c>
      <c r="K28" s="46"/>
    </row>
    <row r="29" spans="2:11" s="45" customFormat="1" x14ac:dyDescent="0.3">
      <c r="B29" s="198">
        <v>1.1299999999999999</v>
      </c>
      <c r="C29" s="151" t="s">
        <v>325</v>
      </c>
      <c r="D29" s="149" t="s">
        <v>112</v>
      </c>
      <c r="E29" s="335">
        <f>'F2.1'!E37</f>
        <v>45.67662</v>
      </c>
      <c r="F29" s="335">
        <f>'F2.1'!F37</f>
        <v>282.57569999999998</v>
      </c>
      <c r="G29" s="335">
        <f>'F2.1'!G37</f>
        <v>282.57569999999998</v>
      </c>
      <c r="H29" s="335">
        <f>'F2.1'!H37</f>
        <v>283.34987999999998</v>
      </c>
      <c r="I29" s="335">
        <f>'F2.1'!I37</f>
        <v>282.57569999999998</v>
      </c>
      <c r="J29" s="335">
        <f>'F2.1'!J37</f>
        <v>282.57569999999998</v>
      </c>
      <c r="K29" s="46"/>
    </row>
    <row r="30" spans="2:11" s="45" customFormat="1" ht="28" x14ac:dyDescent="0.25">
      <c r="B30" s="288">
        <v>1.1399999999999999</v>
      </c>
      <c r="C30" s="151" t="s">
        <v>583</v>
      </c>
      <c r="D30" s="149" t="s">
        <v>112</v>
      </c>
      <c r="E30" s="335">
        <f>'F2.1'!E38</f>
        <v>55.209132000000004</v>
      </c>
      <c r="F30" s="335">
        <f>'F2.1'!F38</f>
        <v>341.54802000000001</v>
      </c>
      <c r="G30" s="335">
        <f>'F2.1'!G38</f>
        <v>341.54802000000001</v>
      </c>
      <c r="H30" s="335">
        <f>'F2.1'!H38</f>
        <v>342.483768</v>
      </c>
      <c r="I30" s="335">
        <f>'F2.1'!I38</f>
        <v>341.54802000000001</v>
      </c>
      <c r="J30" s="335">
        <f>'F2.1'!J38</f>
        <v>341.54802000000001</v>
      </c>
      <c r="K30" s="46"/>
    </row>
    <row r="31" spans="2:11" s="45" customFormat="1" x14ac:dyDescent="0.3">
      <c r="B31" s="197">
        <v>1.1499999999999999</v>
      </c>
      <c r="C31" s="151" t="s">
        <v>584</v>
      </c>
      <c r="D31" s="149" t="s">
        <v>112</v>
      </c>
      <c r="E31" s="333">
        <f>'F2.1'!E41</f>
        <v>739.16686800000002</v>
      </c>
      <c r="F31" s="333">
        <f>'F2.1'!F41</f>
        <v>4572.8119799999995</v>
      </c>
      <c r="G31" s="333">
        <f>'F2.1'!G41</f>
        <v>4572.8119799999995</v>
      </c>
      <c r="H31" s="333">
        <f>'F2.1'!H41</f>
        <v>4585.3402319999996</v>
      </c>
      <c r="I31" s="333">
        <f>'F2.1'!I41</f>
        <v>4572.8119799999995</v>
      </c>
      <c r="J31" s="333">
        <f>'F2.1'!J41</f>
        <v>4572.8119799999995</v>
      </c>
      <c r="K31" s="46"/>
    </row>
    <row r="32" spans="2:11" s="45" customFormat="1" x14ac:dyDescent="0.3">
      <c r="B32" s="197">
        <v>1.1599999999999999</v>
      </c>
      <c r="C32" s="150" t="s">
        <v>585</v>
      </c>
      <c r="D32" s="149" t="s">
        <v>112</v>
      </c>
      <c r="E32" s="227"/>
      <c r="F32" s="227"/>
      <c r="G32" s="227"/>
      <c r="H32" s="227"/>
      <c r="I32" s="227"/>
      <c r="J32" s="227"/>
      <c r="K32" s="46"/>
    </row>
    <row r="33" spans="2:11" s="45" customFormat="1" x14ac:dyDescent="0.3">
      <c r="B33" s="197">
        <v>1.17</v>
      </c>
      <c r="C33" s="151" t="s">
        <v>115</v>
      </c>
      <c r="D33" s="149" t="s">
        <v>116</v>
      </c>
      <c r="E33" s="432">
        <f>'F2.1'!E45</f>
        <v>2139.0505617977528</v>
      </c>
      <c r="F33" s="432">
        <f>'F2.1'!F45</f>
        <v>2139.0505617977528</v>
      </c>
      <c r="G33" s="432">
        <f>'F2.1'!G45</f>
        <v>2139.0505617977528</v>
      </c>
      <c r="H33" s="432">
        <f>'F2.1'!H45</f>
        <v>2139.0505617977528</v>
      </c>
      <c r="I33" s="432">
        <f>'F2.1'!I45</f>
        <v>2139.0505617977528</v>
      </c>
      <c r="J33" s="432">
        <f>'F2.1'!J45</f>
        <v>2139.0505617977528</v>
      </c>
      <c r="K33" s="46"/>
    </row>
    <row r="34" spans="2:11" s="45" customFormat="1" ht="28" x14ac:dyDescent="0.25">
      <c r="B34" s="149">
        <v>1.18</v>
      </c>
      <c r="C34" s="150" t="s">
        <v>587</v>
      </c>
      <c r="D34" s="149" t="s">
        <v>116</v>
      </c>
      <c r="E34" s="316">
        <f>'F2.1'!E46</f>
        <v>2139.0505617977528</v>
      </c>
      <c r="F34" s="316">
        <f>'F2.1'!F46</f>
        <v>2139.0505617977528</v>
      </c>
      <c r="G34" s="316">
        <f>'F2.1'!G46</f>
        <v>2139.0505617977528</v>
      </c>
      <c r="H34" s="316">
        <f>'F2.1'!H46</f>
        <v>2139.0505617977528</v>
      </c>
      <c r="I34" s="316">
        <f>'F2.1'!I46</f>
        <v>2139.0505617977528</v>
      </c>
      <c r="J34" s="316">
        <f>'F2.1'!J46</f>
        <v>2139.0505617977528</v>
      </c>
      <c r="K34" s="46"/>
    </row>
    <row r="35" spans="2:11" s="45" customFormat="1" x14ac:dyDescent="0.3">
      <c r="B35" s="197">
        <v>1.19</v>
      </c>
      <c r="C35" s="150" t="s">
        <v>117</v>
      </c>
      <c r="D35" s="149" t="s">
        <v>118</v>
      </c>
      <c r="E35" s="320">
        <f>'F2.1'!E49</f>
        <v>0.5</v>
      </c>
      <c r="F35" s="320">
        <f>'F2.1'!F49</f>
        <v>0.5</v>
      </c>
      <c r="G35" s="320">
        <f>'F2.1'!G49</f>
        <v>0.5</v>
      </c>
      <c r="H35" s="320">
        <f>'F2.1'!H49</f>
        <v>0.5</v>
      </c>
      <c r="I35" s="320">
        <f>'F2.1'!I49</f>
        <v>0.5</v>
      </c>
      <c r="J35" s="320">
        <f>'F2.1'!J49</f>
        <v>0.5</v>
      </c>
      <c r="K35" s="46"/>
    </row>
    <row r="36" spans="2:11" s="45" customFormat="1" ht="28" x14ac:dyDescent="0.25">
      <c r="B36" s="288">
        <v>1.2</v>
      </c>
      <c r="C36" s="150" t="s">
        <v>588</v>
      </c>
      <c r="D36" s="149" t="s">
        <v>118</v>
      </c>
      <c r="E36" s="321">
        <f>'F2.1'!E50</f>
        <v>0.5</v>
      </c>
      <c r="F36" s="321">
        <f>'F2.1'!F50</f>
        <v>0.5</v>
      </c>
      <c r="G36" s="321">
        <f>'F2.1'!G50</f>
        <v>0.5</v>
      </c>
      <c r="H36" s="321">
        <f>'F2.1'!H50</f>
        <v>0.5</v>
      </c>
      <c r="I36" s="321">
        <f>'F2.1'!I50</f>
        <v>0.5</v>
      </c>
      <c r="J36" s="321">
        <f>'F2.1'!J50</f>
        <v>0.5</v>
      </c>
      <c r="K36" s="46"/>
    </row>
    <row r="37" spans="2:11" s="45" customFormat="1" x14ac:dyDescent="0.3">
      <c r="B37" s="197">
        <v>1.21</v>
      </c>
      <c r="C37" s="150" t="s">
        <v>119</v>
      </c>
      <c r="D37" s="149" t="s">
        <v>110</v>
      </c>
      <c r="E37" s="312">
        <f>'F2.1'!E53</f>
        <v>8.0000000000000002E-3</v>
      </c>
      <c r="F37" s="312">
        <f>'F2.1'!F53</f>
        <v>8.0000000000000002E-3</v>
      </c>
      <c r="G37" s="312">
        <f>'F2.1'!G53</f>
        <v>8.0000000000000002E-3</v>
      </c>
      <c r="H37" s="312">
        <f>'F2.1'!H53</f>
        <v>8.0000000000000002E-3</v>
      </c>
      <c r="I37" s="312">
        <f>'F2.1'!I53</f>
        <v>8.0000000000000002E-3</v>
      </c>
      <c r="J37" s="312">
        <f>'F2.1'!J53</f>
        <v>8.0000000000000002E-3</v>
      </c>
      <c r="K37" s="46"/>
    </row>
    <row r="38" spans="2:11" s="45" customFormat="1" x14ac:dyDescent="0.3">
      <c r="B38" s="197">
        <v>1.22</v>
      </c>
      <c r="C38" s="150" t="s">
        <v>589</v>
      </c>
      <c r="D38" s="149" t="s">
        <v>110</v>
      </c>
      <c r="E38" s="312">
        <f>'F2.1'!E54</f>
        <v>8.0000000000000002E-3</v>
      </c>
      <c r="F38" s="312">
        <f>'F2.1'!F54</f>
        <v>8.0000000000000002E-3</v>
      </c>
      <c r="G38" s="312">
        <f>'F2.1'!G54</f>
        <v>8.0000000000000002E-3</v>
      </c>
      <c r="H38" s="312">
        <f>'F2.1'!H54</f>
        <v>8.0000000000000002E-3</v>
      </c>
      <c r="I38" s="312">
        <f>'F2.1'!I54</f>
        <v>8.0000000000000002E-3</v>
      </c>
      <c r="J38" s="312">
        <f>'F2.1'!J54</f>
        <v>8.0000000000000002E-3</v>
      </c>
      <c r="K38" s="46"/>
    </row>
    <row r="39" spans="2:11" s="45" customFormat="1" x14ac:dyDescent="0.3">
      <c r="B39" s="196"/>
      <c r="C39" s="147"/>
      <c r="D39" s="148"/>
      <c r="E39" s="46"/>
      <c r="F39" s="46"/>
      <c r="G39" s="46"/>
      <c r="H39" s="46"/>
      <c r="I39" s="46"/>
      <c r="J39" s="46"/>
      <c r="K39" s="46"/>
    </row>
    <row r="40" spans="2:11" s="45" customFormat="1" x14ac:dyDescent="0.3">
      <c r="B40" s="196">
        <v>2</v>
      </c>
      <c r="C40" s="193" t="s">
        <v>120</v>
      </c>
      <c r="D40" s="148"/>
      <c r="E40" s="46"/>
      <c r="F40" s="46"/>
      <c r="G40" s="46"/>
      <c r="H40" s="46"/>
      <c r="I40" s="46"/>
      <c r="J40" s="46"/>
      <c r="K40" s="46"/>
    </row>
    <row r="41" spans="2:11" s="45" customFormat="1" x14ac:dyDescent="0.3">
      <c r="B41" s="196">
        <v>2.1</v>
      </c>
      <c r="C41" s="147" t="s">
        <v>529</v>
      </c>
      <c r="D41" s="148"/>
      <c r="E41" s="46"/>
      <c r="F41" s="46"/>
      <c r="G41" s="46"/>
      <c r="H41" s="46"/>
      <c r="I41" s="46"/>
      <c r="J41" s="46"/>
      <c r="K41" s="46"/>
    </row>
    <row r="42" spans="2:11" s="45" customFormat="1" x14ac:dyDescent="0.3">
      <c r="B42" s="197" t="s">
        <v>121</v>
      </c>
      <c r="C42" s="152" t="s">
        <v>676</v>
      </c>
      <c r="D42" s="149" t="s">
        <v>123</v>
      </c>
      <c r="E42" s="319">
        <v>3991.5456967199189</v>
      </c>
      <c r="F42" s="319">
        <f>'[2]FY 25-26'!$Z$61</f>
        <v>3916.7704821332718</v>
      </c>
      <c r="G42" s="319">
        <f>'[2]FY 26-27'!$Z$61</f>
        <v>3916.7704821332718</v>
      </c>
      <c r="H42" s="319">
        <f>'[2]FY 27-28'!$Z$61</f>
        <v>3916.7704821332718</v>
      </c>
      <c r="I42" s="319">
        <f>'[2]FY 28-29'!$Z$61</f>
        <v>3916.7704821332718</v>
      </c>
      <c r="J42" s="319">
        <f>'[2]FY 29-30'!$Z$61</f>
        <v>3916.7704821332718</v>
      </c>
      <c r="K42" s="412"/>
    </row>
    <row r="43" spans="2:11" s="45" customFormat="1" x14ac:dyDescent="0.3">
      <c r="B43" s="197" t="s">
        <v>124</v>
      </c>
      <c r="C43" s="152" t="s">
        <v>677</v>
      </c>
      <c r="D43" s="149" t="s">
        <v>123</v>
      </c>
      <c r="E43" s="319"/>
      <c r="F43" s="319">
        <f>'[2]FY 25-26'!$Z$62</f>
        <v>4752.9185764872036</v>
      </c>
      <c r="G43" s="319">
        <f>'[2]FY 26-27'!$Z$62</f>
        <v>4752.9185764872036</v>
      </c>
      <c r="H43" s="319">
        <f>'[2]FY 27-28'!$Z$62</f>
        <v>4752.9185764872036</v>
      </c>
      <c r="I43" s="319">
        <f>'[2]FY 28-29'!$Z$62</f>
        <v>4752.9185764872036</v>
      </c>
      <c r="J43" s="319">
        <f>'[2]FY 29-30'!$Z$62</f>
        <v>4752.9185764872036</v>
      </c>
    </row>
    <row r="44" spans="2:11" s="45" customFormat="1" x14ac:dyDescent="0.3">
      <c r="B44" s="197" t="s">
        <v>126</v>
      </c>
      <c r="C44" s="152" t="s">
        <v>683</v>
      </c>
      <c r="D44" s="149" t="s">
        <v>123</v>
      </c>
      <c r="E44" s="319">
        <v>10000</v>
      </c>
      <c r="F44" s="319">
        <f>'[2]FY 25-26'!$Z$268</f>
        <v>10552.083333333334</v>
      </c>
      <c r="G44" s="319">
        <f>'[2]FY 26-27'!$Z$268</f>
        <v>10552.083333333334</v>
      </c>
      <c r="H44" s="319">
        <f>'[2]FY 27-28'!$Z$268</f>
        <v>10552.083333333334</v>
      </c>
      <c r="I44" s="319">
        <f>'[2]FY 28-29'!$Z$268</f>
        <v>10552.083333333334</v>
      </c>
      <c r="J44" s="319">
        <f>'[2]FY 29-30'!$Z$268</f>
        <v>10552.083333333334</v>
      </c>
    </row>
    <row r="45" spans="2:11" s="45" customFormat="1" x14ac:dyDescent="0.3">
      <c r="B45" s="197" t="s">
        <v>126</v>
      </c>
      <c r="C45" s="152" t="s">
        <v>684</v>
      </c>
      <c r="D45" s="149" t="s">
        <v>123</v>
      </c>
      <c r="E45" s="46"/>
      <c r="F45" s="46">
        <f>'[2]FY 25-26'!$Z$269</f>
        <v>11111.5</v>
      </c>
      <c r="G45" s="320">
        <f>'[2]FY 26-27'!$Z$269</f>
        <v>11111.5</v>
      </c>
      <c r="H45" s="320">
        <f>'[2]FY 27-28'!$Z$269</f>
        <v>11111.5</v>
      </c>
      <c r="I45" s="320">
        <f>'[2]FY 28-29'!$Z$269</f>
        <v>11111.5</v>
      </c>
      <c r="J45" s="320">
        <f>'[2]FY 29-30'!$Z$269</f>
        <v>11111.5</v>
      </c>
      <c r="K45" s="46"/>
    </row>
    <row r="46" spans="2:11" s="45" customFormat="1" x14ac:dyDescent="0.3">
      <c r="B46" s="196"/>
      <c r="C46" s="147"/>
      <c r="D46" s="148"/>
      <c r="E46" s="46"/>
      <c r="F46" s="46"/>
      <c r="G46" s="46"/>
      <c r="H46" s="46"/>
      <c r="I46" s="46"/>
      <c r="J46" s="46"/>
      <c r="K46" s="46"/>
    </row>
    <row r="47" spans="2:11" s="45" customFormat="1" x14ac:dyDescent="0.3">
      <c r="B47" s="196">
        <v>2.2000000000000002</v>
      </c>
      <c r="C47" s="147" t="s">
        <v>342</v>
      </c>
      <c r="D47" s="148"/>
      <c r="E47" s="46"/>
      <c r="F47" s="46"/>
      <c r="G47" s="46"/>
      <c r="H47" s="46"/>
      <c r="I47" s="46"/>
      <c r="J47" s="46"/>
      <c r="K47" s="46"/>
    </row>
    <row r="48" spans="2:11" s="45" customFormat="1" x14ac:dyDescent="0.3">
      <c r="B48" s="197" t="s">
        <v>129</v>
      </c>
      <c r="C48" s="152" t="s">
        <v>676</v>
      </c>
      <c r="D48" s="149" t="s">
        <v>123</v>
      </c>
      <c r="E48" s="319">
        <f>E42-625</f>
        <v>3366.5456967199189</v>
      </c>
      <c r="F48" s="319">
        <f>F42-750</f>
        <v>3166.7704821332718</v>
      </c>
      <c r="G48" s="319">
        <f t="shared" ref="G48:J48" si="0">G42-750</f>
        <v>3166.7704821332718</v>
      </c>
      <c r="H48" s="319">
        <f t="shared" si="0"/>
        <v>3166.7704821332718</v>
      </c>
      <c r="I48" s="319">
        <f t="shared" si="0"/>
        <v>3166.7704821332718</v>
      </c>
      <c r="J48" s="319">
        <f t="shared" si="0"/>
        <v>3166.7704821332718</v>
      </c>
      <c r="K48" s="46"/>
    </row>
    <row r="49" spans="2:11" s="45" customFormat="1" x14ac:dyDescent="0.3">
      <c r="B49" s="197" t="s">
        <v>131</v>
      </c>
      <c r="C49" s="152" t="s">
        <v>677</v>
      </c>
      <c r="D49" s="149"/>
      <c r="E49" s="319"/>
      <c r="F49" s="319">
        <f>F43</f>
        <v>4752.9185764872036</v>
      </c>
      <c r="G49" s="319">
        <f t="shared" ref="G49:J49" si="1">G43</f>
        <v>4752.9185764872036</v>
      </c>
      <c r="H49" s="319">
        <f t="shared" si="1"/>
        <v>4752.9185764872036</v>
      </c>
      <c r="I49" s="319">
        <f t="shared" si="1"/>
        <v>4752.9185764872036</v>
      </c>
      <c r="J49" s="319">
        <f t="shared" si="1"/>
        <v>4752.9185764872036</v>
      </c>
      <c r="K49" s="46"/>
    </row>
    <row r="50" spans="2:11" s="45" customFormat="1" x14ac:dyDescent="0.3">
      <c r="B50" s="197" t="s">
        <v>132</v>
      </c>
      <c r="C50" s="152" t="s">
        <v>683</v>
      </c>
      <c r="D50" s="149" t="s">
        <v>123</v>
      </c>
      <c r="E50" s="319">
        <f t="shared" ref="E50:J51" si="2">E44</f>
        <v>10000</v>
      </c>
      <c r="F50" s="319">
        <f t="shared" si="2"/>
        <v>10552.083333333334</v>
      </c>
      <c r="G50" s="319">
        <f t="shared" si="2"/>
        <v>10552.083333333334</v>
      </c>
      <c r="H50" s="319">
        <f t="shared" si="2"/>
        <v>10552.083333333334</v>
      </c>
      <c r="I50" s="319">
        <f t="shared" si="2"/>
        <v>10552.083333333334</v>
      </c>
      <c r="J50" s="319">
        <f t="shared" si="2"/>
        <v>10552.083333333334</v>
      </c>
      <c r="K50" s="46"/>
    </row>
    <row r="51" spans="2:11" s="45" customFormat="1" x14ac:dyDescent="0.3">
      <c r="B51" s="197" t="s">
        <v>678</v>
      </c>
      <c r="C51" s="152" t="s">
        <v>684</v>
      </c>
      <c r="D51" s="149" t="s">
        <v>123</v>
      </c>
      <c r="E51" s="46"/>
      <c r="F51" s="319">
        <f t="shared" si="2"/>
        <v>11111.5</v>
      </c>
      <c r="G51" s="319">
        <f t="shared" si="2"/>
        <v>11111.5</v>
      </c>
      <c r="H51" s="319">
        <f t="shared" si="2"/>
        <v>11111.5</v>
      </c>
      <c r="I51" s="319">
        <f t="shared" si="2"/>
        <v>11111.5</v>
      </c>
      <c r="J51" s="319">
        <f t="shared" si="2"/>
        <v>11111.5</v>
      </c>
      <c r="K51" s="46"/>
    </row>
    <row r="52" spans="2:11" s="45" customFormat="1" x14ac:dyDescent="0.3">
      <c r="B52" s="196"/>
      <c r="C52" s="147"/>
      <c r="D52" s="148"/>
      <c r="E52" s="46"/>
      <c r="F52" s="46"/>
      <c r="G52" s="46"/>
      <c r="H52" s="46"/>
      <c r="I52" s="46"/>
      <c r="J52" s="46"/>
      <c r="K52" s="46"/>
    </row>
    <row r="53" spans="2:11" s="45" customFormat="1" x14ac:dyDescent="0.3">
      <c r="B53" s="196">
        <v>2.2999999999999998</v>
      </c>
      <c r="C53" s="147" t="s">
        <v>347</v>
      </c>
      <c r="D53" s="148"/>
      <c r="E53" s="46"/>
      <c r="F53" s="46"/>
      <c r="G53" s="46"/>
      <c r="H53" s="46"/>
      <c r="I53" s="46"/>
      <c r="J53" s="46"/>
      <c r="K53" s="46"/>
    </row>
    <row r="54" spans="2:11" s="45" customFormat="1" x14ac:dyDescent="0.3">
      <c r="B54" s="197" t="s">
        <v>348</v>
      </c>
      <c r="C54" s="152" t="s">
        <v>676</v>
      </c>
      <c r="D54" s="149" t="s">
        <v>123</v>
      </c>
      <c r="E54" s="319">
        <f>E48-85</f>
        <v>3281.5456967199189</v>
      </c>
      <c r="F54" s="319">
        <f>F48-85</f>
        <v>3081.7704821332718</v>
      </c>
      <c r="G54" s="319">
        <f t="shared" ref="G54:J55" si="3">G48-85</f>
        <v>3081.7704821332718</v>
      </c>
      <c r="H54" s="319">
        <f t="shared" si="3"/>
        <v>3081.7704821332718</v>
      </c>
      <c r="I54" s="319">
        <f t="shared" si="3"/>
        <v>3081.7704821332718</v>
      </c>
      <c r="J54" s="319">
        <f t="shared" si="3"/>
        <v>3081.7704821332718</v>
      </c>
      <c r="K54" s="46"/>
    </row>
    <row r="55" spans="2:11" s="45" customFormat="1" x14ac:dyDescent="0.3">
      <c r="B55" s="197" t="s">
        <v>349</v>
      </c>
      <c r="C55" s="152" t="s">
        <v>677</v>
      </c>
      <c r="D55" s="149"/>
      <c r="E55" s="319"/>
      <c r="F55" s="319">
        <f>F49-85</f>
        <v>4667.9185764872036</v>
      </c>
      <c r="G55" s="319">
        <f t="shared" si="3"/>
        <v>4667.9185764872036</v>
      </c>
      <c r="H55" s="319">
        <f t="shared" si="3"/>
        <v>4667.9185764872036</v>
      </c>
      <c r="I55" s="319">
        <f t="shared" si="3"/>
        <v>4667.9185764872036</v>
      </c>
      <c r="J55" s="319">
        <f t="shared" si="3"/>
        <v>4667.9185764872036</v>
      </c>
      <c r="K55" s="46"/>
    </row>
    <row r="56" spans="2:11" s="45" customFormat="1" x14ac:dyDescent="0.3">
      <c r="B56" s="197" t="s">
        <v>350</v>
      </c>
      <c r="C56" s="152" t="s">
        <v>683</v>
      </c>
      <c r="D56" s="149" t="s">
        <v>123</v>
      </c>
      <c r="E56" s="319">
        <f>E50</f>
        <v>10000</v>
      </c>
      <c r="F56" s="319">
        <f>F50</f>
        <v>10552.083333333334</v>
      </c>
      <c r="G56" s="319">
        <f t="shared" ref="G56:J56" si="4">G50</f>
        <v>10552.083333333334</v>
      </c>
      <c r="H56" s="319">
        <f t="shared" si="4"/>
        <v>10552.083333333334</v>
      </c>
      <c r="I56" s="319">
        <f t="shared" si="4"/>
        <v>10552.083333333334</v>
      </c>
      <c r="J56" s="319">
        <f t="shared" si="4"/>
        <v>10552.083333333334</v>
      </c>
      <c r="K56" s="46"/>
    </row>
    <row r="57" spans="2:11" s="45" customFormat="1" x14ac:dyDescent="0.3">
      <c r="B57" s="197" t="s">
        <v>679</v>
      </c>
      <c r="C57" s="152" t="s">
        <v>684</v>
      </c>
      <c r="D57" s="149" t="s">
        <v>123</v>
      </c>
      <c r="E57" s="319">
        <f>E51</f>
        <v>0</v>
      </c>
      <c r="F57" s="319">
        <f>F51</f>
        <v>11111.5</v>
      </c>
      <c r="G57" s="319">
        <f t="shared" ref="G57:J57" si="5">G51</f>
        <v>11111.5</v>
      </c>
      <c r="H57" s="319">
        <f t="shared" si="5"/>
        <v>11111.5</v>
      </c>
      <c r="I57" s="319">
        <f t="shared" si="5"/>
        <v>11111.5</v>
      </c>
      <c r="J57" s="319">
        <f t="shared" si="5"/>
        <v>11111.5</v>
      </c>
      <c r="K57" s="46"/>
    </row>
    <row r="58" spans="2:11" s="45" customFormat="1" x14ac:dyDescent="0.3">
      <c r="B58" s="196"/>
      <c r="C58" s="147"/>
      <c r="D58" s="148"/>
      <c r="E58" s="46"/>
      <c r="F58" s="46"/>
      <c r="G58" s="46"/>
      <c r="H58" s="46"/>
      <c r="I58" s="46"/>
      <c r="J58" s="46"/>
      <c r="K58" s="46"/>
    </row>
    <row r="59" spans="2:11" s="45" customFormat="1" x14ac:dyDescent="0.3">
      <c r="B59" s="196">
        <v>2.4</v>
      </c>
      <c r="C59" s="193" t="s">
        <v>453</v>
      </c>
      <c r="D59" s="148"/>
      <c r="E59" s="46"/>
      <c r="F59" s="46"/>
      <c r="G59" s="46"/>
      <c r="H59" s="46"/>
      <c r="I59" s="46"/>
      <c r="J59" s="46"/>
      <c r="K59" s="46"/>
    </row>
    <row r="60" spans="2:11" s="45" customFormat="1" x14ac:dyDescent="0.3">
      <c r="B60" s="197" t="s">
        <v>366</v>
      </c>
      <c r="C60" s="152" t="s">
        <v>676</v>
      </c>
      <c r="D60" s="149" t="s">
        <v>123</v>
      </c>
      <c r="E60" s="319"/>
      <c r="F60" s="319"/>
      <c r="G60" s="319"/>
      <c r="H60" s="319"/>
      <c r="I60" s="319"/>
      <c r="J60" s="319"/>
      <c r="K60" s="46"/>
    </row>
    <row r="61" spans="2:11" s="45" customFormat="1" x14ac:dyDescent="0.3">
      <c r="B61" s="197" t="s">
        <v>367</v>
      </c>
      <c r="C61" s="152" t="s">
        <v>677</v>
      </c>
      <c r="D61" s="149"/>
      <c r="E61" s="319"/>
      <c r="F61" s="319"/>
      <c r="G61" s="319"/>
      <c r="H61" s="319"/>
      <c r="I61" s="319"/>
      <c r="J61" s="319"/>
      <c r="K61" s="46"/>
    </row>
    <row r="62" spans="2:11" s="45" customFormat="1" x14ac:dyDescent="0.3">
      <c r="B62" s="197" t="s">
        <v>368</v>
      </c>
      <c r="C62" s="152" t="s">
        <v>683</v>
      </c>
      <c r="D62" s="149" t="s">
        <v>123</v>
      </c>
      <c r="E62" s="319"/>
      <c r="F62" s="319"/>
      <c r="G62" s="319"/>
      <c r="H62" s="319"/>
      <c r="I62" s="319"/>
      <c r="J62" s="319"/>
      <c r="K62" s="46"/>
    </row>
    <row r="63" spans="2:11" s="45" customFormat="1" x14ac:dyDescent="0.3">
      <c r="B63" s="197" t="s">
        <v>680</v>
      </c>
      <c r="C63" s="152" t="s">
        <v>684</v>
      </c>
      <c r="D63" s="149" t="s">
        <v>123</v>
      </c>
      <c r="E63" s="46"/>
      <c r="F63" s="46"/>
      <c r="G63" s="46"/>
      <c r="H63" s="46"/>
      <c r="I63" s="46"/>
      <c r="J63" s="46"/>
      <c r="K63" s="46"/>
    </row>
    <row r="64" spans="2:11" s="45" customFormat="1" x14ac:dyDescent="0.3">
      <c r="B64" s="197"/>
      <c r="C64" s="152"/>
      <c r="D64" s="149"/>
      <c r="E64" s="46"/>
      <c r="F64" s="46"/>
      <c r="G64" s="46"/>
      <c r="H64" s="46"/>
      <c r="I64" s="46"/>
      <c r="J64" s="46"/>
      <c r="K64" s="46"/>
    </row>
    <row r="65" spans="2:11" s="45" customFormat="1" x14ac:dyDescent="0.3">
      <c r="B65" s="196">
        <v>2.5</v>
      </c>
      <c r="C65" s="147" t="s">
        <v>128</v>
      </c>
      <c r="D65" s="148"/>
      <c r="E65" s="46"/>
      <c r="F65" s="46"/>
      <c r="G65" s="46"/>
      <c r="H65" s="46"/>
      <c r="I65" s="46"/>
      <c r="J65" s="46"/>
      <c r="K65" s="46"/>
    </row>
    <row r="66" spans="2:11" s="45" customFormat="1" x14ac:dyDescent="0.3">
      <c r="B66" s="197" t="s">
        <v>421</v>
      </c>
      <c r="C66" s="152" t="s">
        <v>676</v>
      </c>
      <c r="D66" s="149" t="s">
        <v>130</v>
      </c>
      <c r="E66" s="319">
        <f>'F2.3'!E23</f>
        <v>4835.8614221949092</v>
      </c>
      <c r="F66" s="319">
        <f>'[2]FY 25-26'!$Z$307</f>
        <v>5116.0347542656709</v>
      </c>
      <c r="G66" s="319">
        <f>'[2]FY 26-27'!$Z$307</f>
        <v>5371.8364919789547</v>
      </c>
      <c r="H66" s="319">
        <f>'[2]FY 27-28'!$Z$307</f>
        <v>5640.4283165779034</v>
      </c>
      <c r="I66" s="319">
        <f>'[2]FY 28-29'!$Z$307</f>
        <v>5922.4497324067988</v>
      </c>
      <c r="J66" s="319">
        <f>'[2]FY 29-30'!$Z$307</f>
        <v>6218.572219027139</v>
      </c>
      <c r="K66" s="46"/>
    </row>
    <row r="67" spans="2:11" s="45" customFormat="1" x14ac:dyDescent="0.3">
      <c r="B67" s="197" t="s">
        <v>423</v>
      </c>
      <c r="C67" s="152" t="s">
        <v>677</v>
      </c>
      <c r="D67" s="149"/>
      <c r="E67" s="319"/>
      <c r="F67" s="319">
        <f>'[2]FY 25-26'!$Z$308</f>
        <v>11716.087709443951</v>
      </c>
      <c r="G67" s="319">
        <f>'[2]FY 26-27'!$Z$308</f>
        <v>11716.087709443951</v>
      </c>
      <c r="H67" s="319">
        <f>'[2]FY 27-28'!$Z$308</f>
        <v>11716.087709443951</v>
      </c>
      <c r="I67" s="319">
        <f>'[2]FY 28-29'!$Z$308</f>
        <v>11716.087709443951</v>
      </c>
      <c r="J67" s="319">
        <f>'[2]FY 29-30'!$Z$308</f>
        <v>11716.087709443951</v>
      </c>
      <c r="K67" s="46"/>
    </row>
    <row r="68" spans="2:11" s="45" customFormat="1" x14ac:dyDescent="0.3">
      <c r="B68" s="197" t="s">
        <v>424</v>
      </c>
      <c r="C68" s="152" t="s">
        <v>683</v>
      </c>
      <c r="D68" s="149" t="s">
        <v>130</v>
      </c>
      <c r="E68" s="319">
        <v>58912</v>
      </c>
      <c r="F68" s="319">
        <f>'[2]FY 25-26'!$Z$312</f>
        <v>54675.093210885832</v>
      </c>
      <c r="G68" s="319">
        <f>'[2]FY 26-27'!$Z$312</f>
        <v>57408.847871430124</v>
      </c>
      <c r="H68" s="319">
        <f>'[2]FY 27-28'!$Z$312</f>
        <v>60279.290265001633</v>
      </c>
      <c r="I68" s="319">
        <f>'[2]FY 28-29'!$Z$312</f>
        <v>63293.254778251714</v>
      </c>
      <c r="J68" s="319">
        <f>'[2]FY 29-30'!$Z$312</f>
        <v>66457.9175171643</v>
      </c>
      <c r="K68" s="46"/>
    </row>
    <row r="69" spans="2:11" s="45" customFormat="1" x14ac:dyDescent="0.3">
      <c r="B69" s="197"/>
      <c r="C69" s="152" t="s">
        <v>684</v>
      </c>
      <c r="D69" s="149"/>
      <c r="E69" s="319"/>
      <c r="F69" s="319">
        <f>'[2]FY 25-26'!$Z$313</f>
        <v>86180.747835868926</v>
      </c>
      <c r="G69" s="319">
        <f>'[2]FY 26-27'!$Z$313</f>
        <v>90489.785227662374</v>
      </c>
      <c r="H69" s="319">
        <f>'[2]FY 27-28'!$Z$313</f>
        <v>95014.274489045492</v>
      </c>
      <c r="I69" s="319">
        <f>'[2]FY 28-29'!$Z$313</f>
        <v>99764.988213497767</v>
      </c>
      <c r="J69" s="319">
        <f>'[2]FY 29-30'!$Z$313</f>
        <v>104753.23762417266</v>
      </c>
      <c r="K69" s="46"/>
    </row>
    <row r="70" spans="2:11" s="45" customFormat="1" x14ac:dyDescent="0.3">
      <c r="B70" s="197"/>
      <c r="C70" s="152"/>
      <c r="D70" s="149"/>
      <c r="E70" s="46"/>
      <c r="F70" s="46"/>
      <c r="G70" s="46"/>
      <c r="H70" s="46"/>
      <c r="I70" s="46"/>
      <c r="J70" s="46"/>
      <c r="K70" s="46"/>
    </row>
    <row r="71" spans="2:11" s="45" customFormat="1" x14ac:dyDescent="0.3">
      <c r="B71" s="197"/>
      <c r="C71" s="152"/>
      <c r="D71" s="149"/>
      <c r="E71" s="46"/>
      <c r="F71" s="46"/>
      <c r="G71" s="46"/>
      <c r="H71" s="46"/>
      <c r="I71" s="46"/>
      <c r="J71" s="46"/>
      <c r="K71" s="46"/>
    </row>
    <row r="72" spans="2:11" s="45" customFormat="1" x14ac:dyDescent="0.3">
      <c r="B72" s="196"/>
      <c r="C72" s="147"/>
      <c r="D72" s="148"/>
      <c r="E72" s="46"/>
      <c r="F72" s="46"/>
      <c r="G72" s="46"/>
      <c r="H72" s="46"/>
      <c r="I72" s="46"/>
      <c r="J72" s="46"/>
      <c r="K72" s="46"/>
    </row>
    <row r="73" spans="2:11" s="45" customFormat="1" x14ac:dyDescent="0.3">
      <c r="B73" s="196">
        <v>3</v>
      </c>
      <c r="C73" s="193" t="s">
        <v>133</v>
      </c>
      <c r="D73" s="148"/>
      <c r="E73" s="46"/>
      <c r="F73" s="46"/>
      <c r="G73" s="46"/>
      <c r="H73" s="46"/>
      <c r="I73" s="46"/>
      <c r="J73" s="46"/>
      <c r="K73" s="46"/>
    </row>
    <row r="74" spans="2:11" s="45" customFormat="1" x14ac:dyDescent="0.3">
      <c r="B74" s="196">
        <v>3.1</v>
      </c>
      <c r="C74" s="147" t="s">
        <v>134</v>
      </c>
      <c r="D74" s="148"/>
      <c r="E74" s="46"/>
      <c r="F74" s="46"/>
      <c r="G74" s="46"/>
      <c r="H74" s="46"/>
      <c r="I74" s="46"/>
      <c r="J74" s="46"/>
      <c r="K74" s="46"/>
    </row>
    <row r="75" spans="2:11" s="45" customFormat="1" x14ac:dyDescent="0.3">
      <c r="B75" s="197" t="s">
        <v>135</v>
      </c>
      <c r="C75" s="152" t="s">
        <v>676</v>
      </c>
      <c r="D75" s="149" t="s">
        <v>136</v>
      </c>
      <c r="E75" s="320">
        <f>(E81*1000)/(E$23*10^6)</f>
        <v>0.66862739282315431</v>
      </c>
      <c r="F75" s="320">
        <f t="shared" ref="F75:J75" si="6">(F81*1000)/(F$23*10^6)</f>
        <v>0.54450630397447486</v>
      </c>
      <c r="G75" s="320">
        <f t="shared" si="6"/>
        <v>0.54454700103370535</v>
      </c>
      <c r="H75" s="320">
        <f t="shared" si="6"/>
        <v>0.54502758215390812</v>
      </c>
      <c r="I75" s="320">
        <f t="shared" si="6"/>
        <v>0.54462839515216632</v>
      </c>
      <c r="J75" s="320">
        <f t="shared" si="6"/>
        <v>0.54452665250409005</v>
      </c>
      <c r="K75" s="46"/>
    </row>
    <row r="76" spans="2:11" s="45" customFormat="1" x14ac:dyDescent="0.3">
      <c r="B76" s="197" t="s">
        <v>137</v>
      </c>
      <c r="C76" s="152" t="s">
        <v>677</v>
      </c>
      <c r="D76" s="149" t="s">
        <v>136</v>
      </c>
      <c r="E76" s="320">
        <f>(E82*1000)/(E$23*10^6)</f>
        <v>0</v>
      </c>
      <c r="F76" s="320">
        <f>(F82*1000)/(F$23*10^6)</f>
        <v>9.7672942153200007E-2</v>
      </c>
      <c r="G76" s="320">
        <f t="shared" ref="G76:J76" si="7">(G82*1000)/(G$23*10^6)</f>
        <v>9.7672942153200007E-2</v>
      </c>
      <c r="H76" s="320">
        <f t="shared" si="7"/>
        <v>9.7406076191032795E-2</v>
      </c>
      <c r="I76" s="320">
        <f t="shared" si="7"/>
        <v>9.7672942153200007E-2</v>
      </c>
      <c r="J76" s="320">
        <f t="shared" si="7"/>
        <v>9.7672942153200007E-2</v>
      </c>
      <c r="K76" s="46"/>
    </row>
    <row r="77" spans="2:11" s="45" customFormat="1" x14ac:dyDescent="0.3">
      <c r="B77" s="197" t="s">
        <v>138</v>
      </c>
      <c r="C77" s="152" t="s">
        <v>683</v>
      </c>
      <c r="D77" s="149" t="s">
        <v>136</v>
      </c>
      <c r="E77" s="320">
        <v>0.5</v>
      </c>
      <c r="F77" s="320">
        <f>'[2]Fuel Projection'!$BQ$135</f>
        <v>0.32202091077772643</v>
      </c>
      <c r="G77" s="320">
        <f>'[2]Fuel Projection'!$BQ$153</f>
        <v>0.32202091077772643</v>
      </c>
      <c r="H77" s="320">
        <f>'[2]Fuel Projection'!$BQ$171</f>
        <v>0.32202091077772643</v>
      </c>
      <c r="I77" s="320">
        <f>'[2]Fuel Projection'!$BQ$189</f>
        <v>0.32202091077772643</v>
      </c>
      <c r="J77" s="320">
        <f>'[2]Fuel Projection'!$BQ$207</f>
        <v>0.32202091077772643</v>
      </c>
      <c r="K77" s="46"/>
    </row>
    <row r="78" spans="2:11" s="45" customFormat="1" x14ac:dyDescent="0.3">
      <c r="B78" s="197" t="s">
        <v>681</v>
      </c>
      <c r="C78" s="152" t="s">
        <v>684</v>
      </c>
      <c r="D78" s="149" t="s">
        <v>136</v>
      </c>
      <c r="E78" s="320"/>
      <c r="F78" s="320">
        <f>'[2]Fuel Projection'!$BR$135</f>
        <v>0.1779790892222736</v>
      </c>
      <c r="G78" s="320">
        <f>'[2]Fuel Projection'!$BR$153</f>
        <v>0.1779790892222736</v>
      </c>
      <c r="H78" s="320">
        <f>'[2]Fuel Projection'!$BR$171</f>
        <v>0.1779790892222736</v>
      </c>
      <c r="I78" s="320">
        <f>'[2]Fuel Projection'!$BR$189</f>
        <v>0.1779790892222736</v>
      </c>
      <c r="J78" s="320">
        <f>'[2]Fuel Projection'!$BR$207</f>
        <v>0.1779790892222736</v>
      </c>
      <c r="K78" s="46"/>
    </row>
    <row r="79" spans="2:11" s="45" customFormat="1" x14ac:dyDescent="0.3">
      <c r="B79" s="197"/>
      <c r="C79" s="152"/>
      <c r="D79" s="149"/>
      <c r="E79" s="46"/>
      <c r="F79" s="46"/>
      <c r="G79" s="46"/>
      <c r="H79" s="46"/>
      <c r="I79" s="46"/>
      <c r="J79" s="46"/>
      <c r="K79" s="46"/>
    </row>
    <row r="80" spans="2:11" s="45" customFormat="1" x14ac:dyDescent="0.3">
      <c r="B80" s="196">
        <v>3.2</v>
      </c>
      <c r="C80" s="147" t="s">
        <v>139</v>
      </c>
      <c r="D80" s="148"/>
      <c r="E80" s="46"/>
      <c r="F80" s="46"/>
      <c r="G80" s="46"/>
      <c r="H80" s="46"/>
      <c r="I80" s="46"/>
      <c r="J80" s="46"/>
      <c r="K80" s="46"/>
    </row>
    <row r="81" spans="2:11" s="45" customFormat="1" x14ac:dyDescent="0.3">
      <c r="B81" s="197" t="s">
        <v>140</v>
      </c>
      <c r="C81" s="152" t="s">
        <v>676</v>
      </c>
      <c r="D81" s="149" t="s">
        <v>454</v>
      </c>
      <c r="E81" s="319">
        <v>531141.55380128603</v>
      </c>
      <c r="F81" s="319">
        <f>'[2]FY 25-26'!$Z$287</f>
        <v>2675900</v>
      </c>
      <c r="G81" s="319">
        <f>'[2]FY 26-27'!$Z$287</f>
        <v>2676100</v>
      </c>
      <c r="H81" s="319">
        <f>'[2]FY 27-28'!$Z$287</f>
        <v>2685800</v>
      </c>
      <c r="I81" s="319">
        <f>'[2]FY 28-29'!$Z$287</f>
        <v>2676500</v>
      </c>
      <c r="J81" s="319">
        <f>'[2]FY 29-30'!$Z$287</f>
        <v>2676000</v>
      </c>
      <c r="K81" s="46"/>
    </row>
    <row r="82" spans="2:11" s="45" customFormat="1" x14ac:dyDescent="0.3">
      <c r="B82" s="197" t="s">
        <v>141</v>
      </c>
      <c r="C82" s="152" t="s">
        <v>677</v>
      </c>
      <c r="D82" s="149"/>
      <c r="E82" s="319"/>
      <c r="F82" s="319">
        <f>'[2]FY 25-26'!$Z$288</f>
        <v>480000</v>
      </c>
      <c r="G82" s="319">
        <f>'[2]FY 26-27'!$Z$288</f>
        <v>480000</v>
      </c>
      <c r="H82" s="319">
        <f>'[2]FY 27-28'!$Z$288</f>
        <v>480000</v>
      </c>
      <c r="I82" s="319">
        <f>'[2]FY 28-29'!$Z$288</f>
        <v>480000</v>
      </c>
      <c r="J82" s="319">
        <f>'[2]FY 29-30'!$Z$288</f>
        <v>480000</v>
      </c>
      <c r="K82" s="46"/>
    </row>
    <row r="83" spans="2:11" s="45" customFormat="1" x14ac:dyDescent="0.3">
      <c r="B83" s="197" t="s">
        <v>142</v>
      </c>
      <c r="C83" s="152" t="s">
        <v>683</v>
      </c>
      <c r="D83" s="149" t="s">
        <v>454</v>
      </c>
      <c r="E83" s="319">
        <v>403.91999999999996</v>
      </c>
      <c r="F83" s="319">
        <f>'[2]FY 25-26'!$Z$292</f>
        <v>1581.0180952015485</v>
      </c>
      <c r="G83" s="319">
        <f>'[2]FY 26-27'!$Z$292</f>
        <v>1581.0180952015485</v>
      </c>
      <c r="H83" s="319">
        <f>'[2]FY 27-28'!$Z$292</f>
        <v>1581.0180952015485</v>
      </c>
      <c r="I83" s="319">
        <f>'[2]FY 28-29'!$Z$292</f>
        <v>1581.0180952015485</v>
      </c>
      <c r="J83" s="319">
        <f>'[2]FY 29-30'!$Z$292</f>
        <v>1581.0180952015485</v>
      </c>
      <c r="K83" s="46"/>
    </row>
    <row r="84" spans="2:11" s="45" customFormat="1" x14ac:dyDescent="0.3">
      <c r="B84" s="197" t="s">
        <v>651</v>
      </c>
      <c r="C84" s="152" t="s">
        <v>684</v>
      </c>
      <c r="D84" s="149"/>
      <c r="E84" s="319"/>
      <c r="F84" s="319">
        <f>'[2]FY 25-26'!$Z$293</f>
        <v>873.81952913651753</v>
      </c>
      <c r="G84" s="319">
        <f>'[2]FY 26-27'!$Z$293</f>
        <v>873.81952913651753</v>
      </c>
      <c r="H84" s="319">
        <f>'[2]FY 27-28'!$Z$293</f>
        <v>873.81952913651753</v>
      </c>
      <c r="I84" s="319">
        <f>'[2]FY 28-29'!$Z$293</f>
        <v>873.81952913651753</v>
      </c>
      <c r="J84" s="319">
        <f>'[2]FY 29-30'!$Z$293</f>
        <v>873.81952913651753</v>
      </c>
      <c r="K84" s="46"/>
    </row>
    <row r="85" spans="2:11" s="45" customFormat="1" x14ac:dyDescent="0.3">
      <c r="B85" s="197"/>
      <c r="C85" s="152"/>
      <c r="D85" s="149"/>
      <c r="E85" s="320"/>
      <c r="F85" s="320"/>
      <c r="G85" s="320"/>
      <c r="H85" s="320"/>
      <c r="I85" s="320"/>
      <c r="J85" s="320"/>
      <c r="K85" s="46"/>
    </row>
    <row r="86" spans="2:11" s="45" customFormat="1" x14ac:dyDescent="0.3">
      <c r="B86" s="197"/>
      <c r="C86" s="152"/>
      <c r="D86" s="149"/>
      <c r="E86" s="320"/>
      <c r="F86" s="320"/>
      <c r="G86" s="320"/>
      <c r="H86" s="320"/>
      <c r="I86" s="320"/>
      <c r="J86" s="320"/>
      <c r="K86" s="46"/>
    </row>
    <row r="87" spans="2:11" s="45" customFormat="1" x14ac:dyDescent="0.3">
      <c r="B87" s="197"/>
      <c r="C87" s="152"/>
      <c r="D87" s="148"/>
      <c r="E87" s="46"/>
      <c r="F87" s="46"/>
      <c r="G87" s="46"/>
      <c r="H87" s="46"/>
      <c r="I87" s="46"/>
      <c r="J87" s="46"/>
      <c r="K87" s="46"/>
    </row>
    <row r="88" spans="2:11" s="45" customFormat="1" x14ac:dyDescent="0.3">
      <c r="B88" s="196">
        <v>3.3</v>
      </c>
      <c r="C88" s="147" t="s">
        <v>143</v>
      </c>
      <c r="D88" s="148"/>
      <c r="E88" s="46"/>
      <c r="F88" s="46"/>
      <c r="G88" s="46"/>
      <c r="H88" s="46"/>
      <c r="I88" s="46"/>
      <c r="J88" s="46"/>
      <c r="K88" s="46"/>
    </row>
    <row r="89" spans="2:11" s="45" customFormat="1" x14ac:dyDescent="0.3">
      <c r="B89" s="197" t="s">
        <v>144</v>
      </c>
      <c r="C89" s="152" t="s">
        <v>676</v>
      </c>
      <c r="D89" s="149" t="s">
        <v>145</v>
      </c>
      <c r="E89" s="319">
        <v>1724375.3258426965</v>
      </c>
      <c r="F89" s="319">
        <f>F81*F54/1000</f>
        <v>8246509.6331404215</v>
      </c>
      <c r="G89" s="319">
        <f t="shared" ref="G89:J90" si="8">G81*G54/1000</f>
        <v>8247125.987236849</v>
      </c>
      <c r="H89" s="319">
        <f t="shared" si="8"/>
        <v>8277019.1609135419</v>
      </c>
      <c r="I89" s="319">
        <f t="shared" si="8"/>
        <v>8248358.6954297014</v>
      </c>
      <c r="J89" s="319">
        <f t="shared" si="8"/>
        <v>8246817.8101886353</v>
      </c>
      <c r="K89" s="319"/>
    </row>
    <row r="90" spans="2:11" s="45" customFormat="1" x14ac:dyDescent="0.3">
      <c r="B90" s="197" t="s">
        <v>146</v>
      </c>
      <c r="C90" s="152" t="s">
        <v>677</v>
      </c>
      <c r="D90" s="149"/>
      <c r="E90" s="319"/>
      <c r="F90" s="319">
        <f>F82*F55/1000</f>
        <v>2240600.9167138576</v>
      </c>
      <c r="G90" s="319">
        <f t="shared" si="8"/>
        <v>2240600.9167138576</v>
      </c>
      <c r="H90" s="319">
        <f t="shared" si="8"/>
        <v>2240600.9167138576</v>
      </c>
      <c r="I90" s="319">
        <f t="shared" si="8"/>
        <v>2240600.9167138576</v>
      </c>
      <c r="J90" s="319">
        <f t="shared" si="8"/>
        <v>2240600.9167138576</v>
      </c>
      <c r="K90" s="319"/>
    </row>
    <row r="91" spans="2:11" s="45" customFormat="1" x14ac:dyDescent="0.3">
      <c r="B91" s="197" t="s">
        <v>682</v>
      </c>
      <c r="C91" s="152" t="s">
        <v>683</v>
      </c>
      <c r="D91" s="149" t="s">
        <v>145</v>
      </c>
      <c r="E91" s="319">
        <v>3635.2799999999993</v>
      </c>
      <c r="F91" s="319">
        <f>F83*F56/1000*0.933</f>
        <v>15565.271367705673</v>
      </c>
      <c r="G91" s="319">
        <f t="shared" ref="G91:J91" si="9">G83*G56/1000*0.933</f>
        <v>15565.271367705673</v>
      </c>
      <c r="H91" s="319">
        <f t="shared" si="9"/>
        <v>15565.271367705673</v>
      </c>
      <c r="I91" s="319">
        <f t="shared" si="9"/>
        <v>15565.271367705673</v>
      </c>
      <c r="J91" s="319">
        <f t="shared" si="9"/>
        <v>15565.271367705673</v>
      </c>
      <c r="K91" s="319"/>
    </row>
    <row r="92" spans="2:11" s="45" customFormat="1" x14ac:dyDescent="0.3">
      <c r="B92" s="197"/>
      <c r="C92" s="152" t="s">
        <v>684</v>
      </c>
      <c r="D92" s="149" t="s">
        <v>145</v>
      </c>
      <c r="E92" s="46"/>
      <c r="F92" s="319">
        <f>F84*F57/1000*0.933</f>
        <v>9058.9128362343872</v>
      </c>
      <c r="G92" s="319">
        <f t="shared" ref="G92:J92" si="10">G84*G57/1000*0.933</f>
        <v>9058.9128362343872</v>
      </c>
      <c r="H92" s="319">
        <f t="shared" si="10"/>
        <v>9058.9128362343872</v>
      </c>
      <c r="I92" s="319">
        <f t="shared" si="10"/>
        <v>9058.9128362343872</v>
      </c>
      <c r="J92" s="319">
        <f t="shared" si="10"/>
        <v>9058.9128362343872</v>
      </c>
      <c r="K92" s="46"/>
    </row>
    <row r="93" spans="2:11" s="45" customFormat="1" x14ac:dyDescent="0.3">
      <c r="B93" s="196"/>
      <c r="C93" s="147" t="s">
        <v>389</v>
      </c>
      <c r="D93" s="149" t="s">
        <v>145</v>
      </c>
      <c r="E93" s="324">
        <f>SUM(E89:E92)</f>
        <v>1728010.6058426965</v>
      </c>
      <c r="F93" s="324">
        <f>SUM(F89:F92)</f>
        <v>10511734.73405822</v>
      </c>
      <c r="G93" s="324">
        <f t="shared" ref="G93:J93" si="11">SUM(G89:G92)</f>
        <v>10512351.088154647</v>
      </c>
      <c r="H93" s="324">
        <f t="shared" si="11"/>
        <v>10542244.261831341</v>
      </c>
      <c r="I93" s="324">
        <f t="shared" si="11"/>
        <v>10513583.796347501</v>
      </c>
      <c r="J93" s="324">
        <f t="shared" si="11"/>
        <v>10512042.911106434</v>
      </c>
      <c r="K93" s="46"/>
    </row>
    <row r="94" spans="2:11" s="45" customFormat="1" x14ac:dyDescent="0.3">
      <c r="B94" s="196"/>
      <c r="C94" s="147"/>
      <c r="D94" s="148"/>
      <c r="E94" s="46"/>
      <c r="F94" s="46"/>
      <c r="G94" s="46"/>
      <c r="H94" s="46"/>
      <c r="I94" s="46"/>
      <c r="J94" s="46"/>
      <c r="K94" s="46"/>
    </row>
    <row r="95" spans="2:11" s="45" customFormat="1" x14ac:dyDescent="0.3">
      <c r="B95" s="196">
        <v>4</v>
      </c>
      <c r="C95" s="147" t="s">
        <v>147</v>
      </c>
      <c r="D95" s="148"/>
      <c r="E95" s="46"/>
      <c r="F95" s="46"/>
      <c r="G95" s="46"/>
      <c r="H95" s="46"/>
      <c r="I95" s="46"/>
      <c r="J95" s="46"/>
      <c r="K95" s="46"/>
    </row>
    <row r="96" spans="2:11" s="45" customFormat="1" x14ac:dyDescent="0.3">
      <c r="B96" s="197">
        <v>4.0999999999999996</v>
      </c>
      <c r="C96" s="152" t="s">
        <v>676</v>
      </c>
      <c r="D96" s="149" t="s">
        <v>148</v>
      </c>
      <c r="E96" s="318">
        <f t="shared" ref="E96:F99" si="12">E81*E66/10^7</f>
        <v>256.85269497523007</v>
      </c>
      <c r="F96" s="318">
        <f t="shared" si="12"/>
        <v>1368.9997398939508</v>
      </c>
      <c r="G96" s="318">
        <f t="shared" ref="G96:J99" si="13">G81*G66/10^7</f>
        <v>1437.5571636184882</v>
      </c>
      <c r="H96" s="318">
        <f t="shared" si="13"/>
        <v>1514.9062372664932</v>
      </c>
      <c r="I96" s="318">
        <f t="shared" si="13"/>
        <v>1585.1436708786796</v>
      </c>
      <c r="J96" s="318">
        <f t="shared" si="13"/>
        <v>1664.0899258116624</v>
      </c>
      <c r="K96" s="46"/>
    </row>
    <row r="97" spans="2:11" s="45" customFormat="1" x14ac:dyDescent="0.3">
      <c r="B97" s="197">
        <v>4.2</v>
      </c>
      <c r="C97" s="152" t="s">
        <v>677</v>
      </c>
      <c r="D97" s="149" t="s">
        <v>148</v>
      </c>
      <c r="E97" s="318">
        <f t="shared" si="12"/>
        <v>0</v>
      </c>
      <c r="F97" s="318">
        <f t="shared" si="12"/>
        <v>562.37221005330969</v>
      </c>
      <c r="G97" s="318">
        <f t="shared" si="13"/>
        <v>562.37221005330969</v>
      </c>
      <c r="H97" s="318">
        <f t="shared" si="13"/>
        <v>562.37221005330969</v>
      </c>
      <c r="I97" s="318">
        <f t="shared" si="13"/>
        <v>562.37221005330969</v>
      </c>
      <c r="J97" s="318">
        <f t="shared" si="13"/>
        <v>562.37221005330969</v>
      </c>
      <c r="K97" s="46"/>
    </row>
    <row r="98" spans="2:11" s="45" customFormat="1" x14ac:dyDescent="0.3">
      <c r="B98" s="197">
        <v>4.3</v>
      </c>
      <c r="C98" s="152" t="s">
        <v>683</v>
      </c>
      <c r="D98" s="149" t="s">
        <v>148</v>
      </c>
      <c r="E98" s="318">
        <f t="shared" si="12"/>
        <v>2.3795735040000001</v>
      </c>
      <c r="F98" s="318">
        <f t="shared" si="12"/>
        <v>8.6442311723241829</v>
      </c>
      <c r="G98" s="318">
        <f t="shared" si="13"/>
        <v>9.0764427309403928</v>
      </c>
      <c r="H98" s="318">
        <f t="shared" si="13"/>
        <v>9.5302648674874124</v>
      </c>
      <c r="I98" s="318">
        <f t="shared" si="13"/>
        <v>10.006778110861783</v>
      </c>
      <c r="J98" s="318">
        <f t="shared" si="13"/>
        <v>10.507117016404871</v>
      </c>
      <c r="K98" s="46"/>
    </row>
    <row r="99" spans="2:11" s="45" customFormat="1" x14ac:dyDescent="0.3">
      <c r="B99" s="197">
        <v>4.4000000000000004</v>
      </c>
      <c r="C99" s="152" t="s">
        <v>684</v>
      </c>
      <c r="D99" s="149" t="s">
        <v>148</v>
      </c>
      <c r="E99" s="318">
        <f t="shared" si="12"/>
        <v>0</v>
      </c>
      <c r="F99" s="318">
        <f t="shared" si="12"/>
        <v>7.5306420494571942</v>
      </c>
      <c r="G99" s="318">
        <f t="shared" si="13"/>
        <v>7.9071741519300538</v>
      </c>
      <c r="H99" s="318">
        <f t="shared" si="13"/>
        <v>8.302532859526556</v>
      </c>
      <c r="I99" s="318">
        <f t="shared" si="13"/>
        <v>8.7176595025028831</v>
      </c>
      <c r="J99" s="318">
        <f t="shared" si="13"/>
        <v>9.1535424776280276</v>
      </c>
      <c r="K99" s="46"/>
    </row>
    <row r="100" spans="2:11" s="45" customFormat="1" x14ac:dyDescent="0.3">
      <c r="B100" s="197"/>
      <c r="C100" s="152"/>
      <c r="D100" s="149"/>
      <c r="E100" s="318"/>
      <c r="F100" s="318"/>
      <c r="G100" s="318"/>
      <c r="H100" s="318"/>
      <c r="I100" s="318"/>
      <c r="J100" s="318"/>
      <c r="K100" s="46"/>
    </row>
    <row r="101" spans="2:11" s="45" customFormat="1" x14ac:dyDescent="0.3">
      <c r="B101" s="197"/>
      <c r="C101" s="152"/>
      <c r="D101" s="149"/>
      <c r="E101" s="318"/>
      <c r="F101" s="318"/>
      <c r="G101" s="318"/>
      <c r="H101" s="318"/>
      <c r="I101" s="318"/>
      <c r="J101" s="318"/>
      <c r="K101" s="46"/>
    </row>
    <row r="102" spans="2:11" s="45" customFormat="1" x14ac:dyDescent="0.3">
      <c r="B102" s="196"/>
      <c r="C102" s="147" t="s">
        <v>147</v>
      </c>
      <c r="D102" s="149" t="s">
        <v>148</v>
      </c>
      <c r="E102" s="337">
        <f>SUM(E96:E101)</f>
        <v>259.23226847923007</v>
      </c>
      <c r="F102" s="337">
        <f>SUM(F96:F101)</f>
        <v>1947.5468231690418</v>
      </c>
      <c r="G102" s="337">
        <f t="shared" ref="G102:J102" si="14">SUM(G96:G101)</f>
        <v>2016.9129905546683</v>
      </c>
      <c r="H102" s="337">
        <f t="shared" si="14"/>
        <v>2095.1112450468172</v>
      </c>
      <c r="I102" s="337">
        <f t="shared" si="14"/>
        <v>2166.2403185453541</v>
      </c>
      <c r="J102" s="337">
        <f t="shared" si="14"/>
        <v>2246.1227953590046</v>
      </c>
      <c r="K102" s="46"/>
    </row>
    <row r="103" spans="2:11" s="45" customFormat="1" x14ac:dyDescent="0.3">
      <c r="B103" s="196"/>
      <c r="C103" s="147"/>
      <c r="D103" s="148"/>
      <c r="E103" s="46"/>
      <c r="F103" s="46"/>
      <c r="G103" s="46"/>
      <c r="H103" s="46"/>
      <c r="I103" s="46"/>
      <c r="J103" s="46"/>
      <c r="K103" s="46"/>
    </row>
    <row r="104" spans="2:11" s="45" customFormat="1" x14ac:dyDescent="0.3">
      <c r="B104" s="196">
        <v>5</v>
      </c>
      <c r="C104" s="147" t="s">
        <v>590</v>
      </c>
      <c r="D104" s="148"/>
      <c r="E104" s="46"/>
      <c r="F104" s="46"/>
      <c r="G104" s="46"/>
      <c r="H104" s="46"/>
      <c r="I104" s="46"/>
      <c r="J104" s="46"/>
      <c r="K104" s="46"/>
    </row>
    <row r="105" spans="2:11" s="45" customFormat="1" x14ac:dyDescent="0.3">
      <c r="B105" s="197">
        <v>5.0999999999999996</v>
      </c>
      <c r="C105" s="152" t="s">
        <v>122</v>
      </c>
      <c r="D105" s="149" t="s">
        <v>148</v>
      </c>
      <c r="E105" s="46"/>
      <c r="F105" s="46"/>
      <c r="G105" s="46"/>
      <c r="H105" s="46"/>
      <c r="I105" s="46"/>
      <c r="J105" s="46"/>
      <c r="K105" s="46"/>
    </row>
    <row r="106" spans="2:11" s="45" customFormat="1" x14ac:dyDescent="0.3">
      <c r="B106" s="197">
        <v>5.2</v>
      </c>
      <c r="C106" s="152" t="s">
        <v>125</v>
      </c>
      <c r="D106" s="149" t="s">
        <v>148</v>
      </c>
      <c r="E106" s="46"/>
      <c r="F106" s="46"/>
      <c r="G106" s="46"/>
      <c r="H106" s="46"/>
      <c r="I106" s="46"/>
      <c r="J106" s="46"/>
      <c r="K106" s="46"/>
    </row>
    <row r="107" spans="2:11" s="45" customFormat="1" x14ac:dyDescent="0.3">
      <c r="B107" s="197">
        <v>5.3</v>
      </c>
      <c r="C107" s="152" t="s">
        <v>127</v>
      </c>
      <c r="D107" s="149" t="s">
        <v>148</v>
      </c>
      <c r="E107" s="46"/>
      <c r="F107" s="46"/>
      <c r="G107" s="46"/>
      <c r="H107" s="46"/>
      <c r="I107" s="46"/>
      <c r="J107" s="46"/>
      <c r="K107" s="46"/>
    </row>
    <row r="108" spans="2:11" s="45" customFormat="1" x14ac:dyDescent="0.3">
      <c r="B108" s="196"/>
      <c r="C108" s="147" t="s">
        <v>591</v>
      </c>
      <c r="D108" s="149" t="s">
        <v>148</v>
      </c>
      <c r="E108" s="46"/>
      <c r="F108" s="46"/>
      <c r="G108" s="46"/>
      <c r="H108" s="46"/>
      <c r="I108" s="46"/>
      <c r="J108" s="46"/>
      <c r="K108" s="46"/>
    </row>
    <row r="109" spans="2:11" s="45" customFormat="1" x14ac:dyDescent="0.3">
      <c r="B109" s="196"/>
      <c r="C109" s="147"/>
      <c r="D109" s="148"/>
      <c r="E109" s="46"/>
      <c r="F109" s="46"/>
      <c r="G109" s="46"/>
      <c r="H109" s="46"/>
      <c r="I109" s="46"/>
      <c r="J109" s="46"/>
      <c r="K109" s="46"/>
    </row>
    <row r="110" spans="2:11" s="45" customFormat="1" x14ac:dyDescent="0.3">
      <c r="B110" s="196">
        <v>6</v>
      </c>
      <c r="C110" s="147" t="s">
        <v>592</v>
      </c>
      <c r="D110" s="148"/>
      <c r="E110" s="46"/>
      <c r="F110" s="46"/>
      <c r="G110" s="46"/>
      <c r="H110" s="46"/>
      <c r="I110" s="46"/>
      <c r="J110" s="46"/>
      <c r="K110" s="46"/>
    </row>
    <row r="111" spans="2:11" s="45" customFormat="1" x14ac:dyDescent="0.3">
      <c r="B111" s="197">
        <v>6.1</v>
      </c>
      <c r="C111" s="152" t="s">
        <v>122</v>
      </c>
      <c r="D111" s="149" t="s">
        <v>148</v>
      </c>
      <c r="E111" s="46"/>
      <c r="F111" s="46"/>
      <c r="G111" s="46"/>
      <c r="H111" s="46"/>
      <c r="I111" s="46"/>
      <c r="J111" s="46"/>
      <c r="K111" s="46"/>
    </row>
    <row r="112" spans="2:11" s="45" customFormat="1" x14ac:dyDescent="0.3">
      <c r="B112" s="197">
        <v>6.2</v>
      </c>
      <c r="C112" s="152" t="s">
        <v>125</v>
      </c>
      <c r="D112" s="149" t="s">
        <v>148</v>
      </c>
      <c r="E112" s="46"/>
      <c r="F112" s="46"/>
      <c r="G112" s="46"/>
      <c r="H112" s="46"/>
      <c r="I112" s="46"/>
      <c r="J112" s="46"/>
      <c r="K112" s="46"/>
    </row>
    <row r="113" spans="2:11" s="45" customFormat="1" x14ac:dyDescent="0.3">
      <c r="B113" s="197">
        <v>6.3</v>
      </c>
      <c r="C113" s="152" t="s">
        <v>127</v>
      </c>
      <c r="D113" s="149" t="s">
        <v>148</v>
      </c>
      <c r="E113" s="46"/>
      <c r="F113" s="46"/>
      <c r="G113" s="46"/>
      <c r="H113" s="46"/>
      <c r="I113" s="46"/>
      <c r="J113" s="46"/>
      <c r="K113" s="46"/>
    </row>
    <row r="114" spans="2:11" s="45" customFormat="1" x14ac:dyDescent="0.3">
      <c r="B114" s="196"/>
      <c r="C114" s="147" t="s">
        <v>593</v>
      </c>
      <c r="D114" s="149" t="s">
        <v>148</v>
      </c>
      <c r="E114" s="46"/>
      <c r="F114" s="46"/>
      <c r="G114" s="46"/>
      <c r="H114" s="46"/>
      <c r="I114" s="46"/>
      <c r="J114" s="46"/>
      <c r="K114" s="46"/>
    </row>
    <row r="115" spans="2:11" s="45" customFormat="1" x14ac:dyDescent="0.3">
      <c r="B115" s="196"/>
      <c r="C115" s="147"/>
      <c r="D115" s="149"/>
      <c r="E115" s="46"/>
      <c r="F115" s="46"/>
      <c r="G115" s="46"/>
      <c r="H115" s="46"/>
      <c r="I115" s="46"/>
      <c r="J115" s="46"/>
      <c r="K115" s="46"/>
    </row>
    <row r="116" spans="2:11" s="45" customFormat="1" x14ac:dyDescent="0.3">
      <c r="B116" s="196">
        <v>7</v>
      </c>
      <c r="C116" s="147" t="s">
        <v>149</v>
      </c>
      <c r="D116" s="148"/>
      <c r="E116" s="46"/>
      <c r="F116" s="46"/>
      <c r="G116" s="46"/>
      <c r="H116" s="46"/>
      <c r="I116" s="46"/>
      <c r="J116" s="46"/>
      <c r="K116" s="46"/>
    </row>
    <row r="117" spans="2:11" s="45" customFormat="1" x14ac:dyDescent="0.3">
      <c r="B117" s="197">
        <v>7.1</v>
      </c>
      <c r="C117" s="152"/>
      <c r="D117" s="149" t="s">
        <v>148</v>
      </c>
      <c r="E117" s="318"/>
      <c r="F117" s="318"/>
      <c r="G117" s="318"/>
      <c r="H117" s="318"/>
      <c r="I117" s="318"/>
      <c r="J117" s="318"/>
      <c r="K117" s="46"/>
    </row>
    <row r="118" spans="2:11" s="45" customFormat="1" x14ac:dyDescent="0.3">
      <c r="B118" s="197">
        <v>7.2</v>
      </c>
      <c r="C118" s="152"/>
      <c r="D118" s="149" t="s">
        <v>148</v>
      </c>
      <c r="E118" s="318"/>
      <c r="F118" s="318"/>
      <c r="G118" s="318"/>
      <c r="H118" s="318"/>
      <c r="I118" s="318"/>
      <c r="J118" s="318"/>
      <c r="K118" s="46"/>
    </row>
    <row r="119" spans="2:11" s="45" customFormat="1" x14ac:dyDescent="0.3">
      <c r="B119" s="197"/>
      <c r="C119" s="147" t="s">
        <v>150</v>
      </c>
      <c r="D119" s="149" t="s">
        <v>148</v>
      </c>
      <c r="E119" s="323">
        <f>SUM(E117:E118)</f>
        <v>0</v>
      </c>
      <c r="F119" s="323">
        <f>SUM(F117:F118)</f>
        <v>0</v>
      </c>
      <c r="G119" s="323">
        <f t="shared" ref="G119:J119" si="15">SUM(G117:G118)</f>
        <v>0</v>
      </c>
      <c r="H119" s="323">
        <f t="shared" si="15"/>
        <v>0</v>
      </c>
      <c r="I119" s="323">
        <f t="shared" si="15"/>
        <v>0</v>
      </c>
      <c r="J119" s="323">
        <f t="shared" si="15"/>
        <v>0</v>
      </c>
      <c r="K119" s="46"/>
    </row>
    <row r="120" spans="2:11" s="45" customFormat="1" x14ac:dyDescent="0.3">
      <c r="B120" s="196"/>
      <c r="C120" s="147"/>
      <c r="D120" s="148"/>
      <c r="E120" s="46"/>
      <c r="F120" s="46"/>
      <c r="G120" s="46"/>
      <c r="H120" s="46"/>
      <c r="I120" s="46"/>
      <c r="J120" s="46"/>
      <c r="K120" s="46"/>
    </row>
    <row r="121" spans="2:11" s="14" customFormat="1" x14ac:dyDescent="0.3">
      <c r="B121" s="153">
        <v>8</v>
      </c>
      <c r="C121" s="70" t="s">
        <v>594</v>
      </c>
      <c r="D121" s="149" t="s">
        <v>148</v>
      </c>
      <c r="E121" s="337">
        <f>E102+E108+E114+E119</f>
        <v>259.23226847923007</v>
      </c>
      <c r="F121" s="337">
        <f>F102+F108+F114+F119</f>
        <v>1947.5468231690418</v>
      </c>
      <c r="G121" s="337">
        <f t="shared" ref="G121:J121" si="16">G102+G108+G114+G119</f>
        <v>2016.9129905546683</v>
      </c>
      <c r="H121" s="337">
        <f t="shared" si="16"/>
        <v>2095.1112450468172</v>
      </c>
      <c r="I121" s="337">
        <f t="shared" si="16"/>
        <v>2166.2403185453541</v>
      </c>
      <c r="J121" s="337">
        <f t="shared" si="16"/>
        <v>2246.1227953590046</v>
      </c>
      <c r="K121" s="49"/>
    </row>
    <row r="122" spans="2:11" s="14" customFormat="1" x14ac:dyDescent="0.3">
      <c r="B122" s="153"/>
      <c r="C122" s="155"/>
      <c r="D122" s="134"/>
      <c r="E122" s="49"/>
      <c r="F122" s="49"/>
      <c r="G122" s="49"/>
      <c r="H122" s="49"/>
      <c r="I122" s="49"/>
      <c r="J122" s="49"/>
      <c r="K122" s="49"/>
    </row>
    <row r="123" spans="2:11" s="14" customFormat="1" x14ac:dyDescent="0.3">
      <c r="B123" s="153">
        <v>9</v>
      </c>
      <c r="C123" s="155" t="s">
        <v>595</v>
      </c>
      <c r="D123" s="134" t="s">
        <v>151</v>
      </c>
      <c r="E123" s="322">
        <f>E121/E31*10</f>
        <v>3.5070872316104684</v>
      </c>
      <c r="F123" s="322">
        <f>F121/F31*10</f>
        <v>4.2589698235724143</v>
      </c>
      <c r="G123" s="322">
        <f t="shared" ref="G123:J123" si="17">G121/G31*10</f>
        <v>4.4106624094233338</v>
      </c>
      <c r="H123" s="322">
        <f>H121/H31*10</f>
        <v>4.5691511186575289</v>
      </c>
      <c r="I123" s="322">
        <f t="shared" si="17"/>
        <v>4.7372171172131905</v>
      </c>
      <c r="J123" s="322">
        <f t="shared" si="17"/>
        <v>4.9119071704299655</v>
      </c>
      <c r="K123" s="49"/>
    </row>
    <row r="124" spans="2:11" s="14" customFormat="1" x14ac:dyDescent="0.3">
      <c r="B124" s="153">
        <v>10</v>
      </c>
      <c r="C124" s="155" t="s">
        <v>711</v>
      </c>
      <c r="D124" s="149" t="s">
        <v>148</v>
      </c>
      <c r="E124" s="322">
        <f>E161</f>
        <v>0</v>
      </c>
      <c r="F124" s="322">
        <f t="shared" ref="F124:J124" si="18">F161</f>
        <v>20.871375823499033</v>
      </c>
      <c r="G124" s="322">
        <f t="shared" si="18"/>
        <v>27.803110129843603</v>
      </c>
      <c r="H124" s="322">
        <f t="shared" si="18"/>
        <v>27.87928303430893</v>
      </c>
      <c r="I124" s="322">
        <f t="shared" si="18"/>
        <v>27.803110129843603</v>
      </c>
      <c r="J124" s="322">
        <f t="shared" si="18"/>
        <v>27.803110129843603</v>
      </c>
      <c r="K124" s="49"/>
    </row>
    <row r="125" spans="2:11" s="1" customFormat="1" x14ac:dyDescent="0.3">
      <c r="B125" s="153">
        <f>B124+1</f>
        <v>11</v>
      </c>
      <c r="C125" s="155" t="s">
        <v>595</v>
      </c>
      <c r="D125" s="134" t="s">
        <v>151</v>
      </c>
      <c r="E125" s="322">
        <f>E124/E31*10</f>
        <v>0</v>
      </c>
      <c r="F125" s="322">
        <f t="shared" ref="F125:J125" si="19">F124/F31*10</f>
        <v>4.5642322305801508E-2</v>
      </c>
      <c r="G125" s="322">
        <f t="shared" si="19"/>
        <v>6.0800903801523906E-2</v>
      </c>
      <c r="H125" s="322">
        <f t="shared" si="19"/>
        <v>6.0800903801523913E-2</v>
      </c>
      <c r="I125" s="322">
        <f t="shared" si="19"/>
        <v>6.0800903801523906E-2</v>
      </c>
      <c r="J125" s="322">
        <f t="shared" si="19"/>
        <v>6.0800903801523906E-2</v>
      </c>
      <c r="K125" s="20"/>
    </row>
    <row r="126" spans="2:11" x14ac:dyDescent="0.3">
      <c r="B126" s="9"/>
      <c r="D126" s="9"/>
      <c r="E126" s="1"/>
      <c r="F126" s="1"/>
      <c r="G126" s="1"/>
      <c r="H126" s="1"/>
      <c r="I126" s="1"/>
      <c r="J126" s="1"/>
    </row>
    <row r="127" spans="2:11" ht="20" x14ac:dyDescent="0.4">
      <c r="B127" s="416" t="s">
        <v>710</v>
      </c>
    </row>
    <row r="128" spans="2:11" x14ac:dyDescent="0.3">
      <c r="B128" s="417" t="s">
        <v>686</v>
      </c>
      <c r="C128" s="134"/>
      <c r="D128" s="418"/>
      <c r="E128" s="419" t="str">
        <f>E7</f>
        <v>FY 2024-25</v>
      </c>
      <c r="F128" s="419" t="str">
        <f>F7</f>
        <v>FY 2025-26</v>
      </c>
      <c r="G128" s="419" t="str">
        <f t="shared" ref="G128:J128" si="20">G7</f>
        <v>FY 2026-27</v>
      </c>
      <c r="H128" s="419" t="str">
        <f t="shared" si="20"/>
        <v>FY 2027-28</v>
      </c>
      <c r="I128" s="419" t="str">
        <f t="shared" si="20"/>
        <v>FY 2028-29</v>
      </c>
      <c r="J128" s="419" t="str">
        <f t="shared" si="20"/>
        <v>FY 2029-30</v>
      </c>
    </row>
    <row r="129" spans="2:10" ht="15.5" x14ac:dyDescent="0.35">
      <c r="B129" s="420"/>
      <c r="C129" s="421"/>
      <c r="D129" s="418"/>
      <c r="E129" s="20"/>
      <c r="F129" s="134"/>
      <c r="G129" s="20"/>
      <c r="H129" s="20"/>
      <c r="I129" s="20"/>
      <c r="J129" s="20"/>
    </row>
    <row r="130" spans="2:10" x14ac:dyDescent="0.3">
      <c r="B130" s="413" t="s">
        <v>432</v>
      </c>
      <c r="C130" s="414" t="s">
        <v>49</v>
      </c>
      <c r="D130" s="134"/>
      <c r="E130" s="20"/>
      <c r="F130" s="20"/>
      <c r="G130" s="20"/>
      <c r="H130" s="20"/>
      <c r="I130" s="20"/>
      <c r="J130" s="20"/>
    </row>
    <row r="131" spans="2:10" x14ac:dyDescent="0.3">
      <c r="B131" s="413">
        <v>1</v>
      </c>
      <c r="C131" s="414" t="s">
        <v>687</v>
      </c>
      <c r="D131" s="134"/>
      <c r="E131" s="415">
        <f t="shared" ref="E131" si="21">E34</f>
        <v>2139.0505617977528</v>
      </c>
      <c r="F131" s="415">
        <f t="shared" ref="F131:J131" si="22">F34</f>
        <v>2139.0505617977528</v>
      </c>
      <c r="G131" s="415">
        <f t="shared" si="22"/>
        <v>2139.0505617977528</v>
      </c>
      <c r="H131" s="415">
        <f t="shared" si="22"/>
        <v>2139.0505617977528</v>
      </c>
      <c r="I131" s="415">
        <f t="shared" si="22"/>
        <v>2139.0505617977528</v>
      </c>
      <c r="J131" s="415">
        <f t="shared" si="22"/>
        <v>2139.0505617977528</v>
      </c>
    </row>
    <row r="132" spans="2:10" x14ac:dyDescent="0.3">
      <c r="B132" s="413">
        <f>B131+1</f>
        <v>2</v>
      </c>
      <c r="C132" s="414" t="s">
        <v>688</v>
      </c>
      <c r="D132" s="134"/>
      <c r="E132" s="422">
        <f>E54+85</f>
        <v>3366.5456967199189</v>
      </c>
      <c r="F132" s="422">
        <f t="shared" ref="F132:J132" si="23">F54+85</f>
        <v>3166.7704821332718</v>
      </c>
      <c r="G132" s="422">
        <f t="shared" si="23"/>
        <v>3166.7704821332718</v>
      </c>
      <c r="H132" s="422">
        <f t="shared" si="23"/>
        <v>3166.7704821332718</v>
      </c>
      <c r="I132" s="422">
        <f t="shared" si="23"/>
        <v>3166.7704821332718</v>
      </c>
      <c r="J132" s="422">
        <f t="shared" si="23"/>
        <v>3166.7704821332718</v>
      </c>
    </row>
    <row r="133" spans="2:10" x14ac:dyDescent="0.3">
      <c r="B133" s="413">
        <f t="shared" ref="B133:B139" si="24">B132+1</f>
        <v>3</v>
      </c>
      <c r="C133" s="414" t="s">
        <v>689</v>
      </c>
      <c r="D133" s="134"/>
      <c r="E133" s="423">
        <f>E132-85</f>
        <v>3281.5456967199189</v>
      </c>
      <c r="F133" s="423">
        <f t="shared" ref="F133:J133" si="25">F132-85</f>
        <v>3081.7704821332718</v>
      </c>
      <c r="G133" s="423">
        <f t="shared" si="25"/>
        <v>3081.7704821332718</v>
      </c>
      <c r="H133" s="423">
        <f t="shared" si="25"/>
        <v>3081.7704821332718</v>
      </c>
      <c r="I133" s="423">
        <f t="shared" si="25"/>
        <v>3081.7704821332718</v>
      </c>
      <c r="J133" s="423">
        <f t="shared" si="25"/>
        <v>3081.7704821332718</v>
      </c>
    </row>
    <row r="134" spans="2:10" x14ac:dyDescent="0.3">
      <c r="B134" s="413">
        <f t="shared" si="24"/>
        <v>4</v>
      </c>
      <c r="C134" s="414" t="s">
        <v>690</v>
      </c>
      <c r="D134" s="134"/>
      <c r="E134" s="424">
        <f>'[2]FY 25-26'!$Z$916</f>
        <v>7.4999999999999997E-3</v>
      </c>
      <c r="F134" s="424">
        <f>'[2]FY 25-26'!$Z$916</f>
        <v>7.4999999999999997E-3</v>
      </c>
      <c r="G134" s="424">
        <f>'[2]FY 26-27'!$Z$916</f>
        <v>7.4999999999999997E-3</v>
      </c>
      <c r="H134" s="424">
        <f>'[2]FY 27-28'!$Z$916</f>
        <v>7.4999999999999997E-3</v>
      </c>
      <c r="I134" s="424">
        <f>'[2]FY 28-29'!$Z$916</f>
        <v>7.4999999999999997E-3</v>
      </c>
      <c r="J134" s="424">
        <f>'[2]FY 29-30'!$Z$916</f>
        <v>7.4999999999999997E-3</v>
      </c>
    </row>
    <row r="135" spans="2:10" x14ac:dyDescent="0.3">
      <c r="B135" s="413">
        <f t="shared" si="24"/>
        <v>5</v>
      </c>
      <c r="C135" s="414" t="s">
        <v>691</v>
      </c>
      <c r="D135" s="134"/>
      <c r="E135" s="425">
        <f>'[2]FY 25-26'!$Z$917</f>
        <v>0.89</v>
      </c>
      <c r="F135" s="425">
        <f>'[2]FY 25-26'!$Z$917</f>
        <v>0.89</v>
      </c>
      <c r="G135" s="425">
        <f>'[2]FY 26-27'!$Z$917</f>
        <v>0.89</v>
      </c>
      <c r="H135" s="425">
        <f>'[2]FY 27-28'!$Z$917</f>
        <v>0.89</v>
      </c>
      <c r="I135" s="425">
        <f>'[2]FY 28-29'!$Z$917</f>
        <v>0.89</v>
      </c>
      <c r="J135" s="425">
        <f>'[2]FY 29-30'!$Z$917</f>
        <v>0.89</v>
      </c>
    </row>
    <row r="136" spans="2:10" ht="25" x14ac:dyDescent="0.3">
      <c r="B136" s="413">
        <f t="shared" si="24"/>
        <v>6</v>
      </c>
      <c r="C136" s="414" t="s">
        <v>692</v>
      </c>
      <c r="D136" s="134"/>
      <c r="E136" s="426">
        <f>'[2]FY 25-26'!$Z$918</f>
        <v>200</v>
      </c>
      <c r="F136" s="426">
        <f>'[2]FY 25-26'!$Z$918</f>
        <v>200</v>
      </c>
      <c r="G136" s="426">
        <f>'[2]FY 26-27'!$Z$918</f>
        <v>200</v>
      </c>
      <c r="H136" s="426">
        <f>'[2]FY 27-28'!$Z$918</f>
        <v>200</v>
      </c>
      <c r="I136" s="426">
        <f>'[2]FY 28-29'!$Z$918</f>
        <v>200</v>
      </c>
      <c r="J136" s="426">
        <f>'[2]FY 29-30'!$Z$918</f>
        <v>200</v>
      </c>
    </row>
    <row r="137" spans="2:10" x14ac:dyDescent="0.3">
      <c r="B137" s="413">
        <f t="shared" si="24"/>
        <v>7</v>
      </c>
      <c r="C137" s="414" t="s">
        <v>693</v>
      </c>
      <c r="D137" s="134"/>
      <c r="E137" s="426">
        <f>IF(E136&lt;=200,95%,73%)</f>
        <v>0.95</v>
      </c>
      <c r="F137" s="426">
        <f t="shared" ref="F137:J137" si="26">IF(F136&lt;=200,95%,73%)</f>
        <v>0.95</v>
      </c>
      <c r="G137" s="426">
        <f t="shared" si="26"/>
        <v>0.95</v>
      </c>
      <c r="H137" s="426">
        <f t="shared" si="26"/>
        <v>0.95</v>
      </c>
      <c r="I137" s="426">
        <f t="shared" si="26"/>
        <v>0.95</v>
      </c>
      <c r="J137" s="426">
        <f t="shared" si="26"/>
        <v>0.95</v>
      </c>
    </row>
    <row r="138" spans="2:10" x14ac:dyDescent="0.3">
      <c r="B138" s="413">
        <f t="shared" si="24"/>
        <v>8</v>
      </c>
      <c r="C138" s="414" t="s">
        <v>694</v>
      </c>
      <c r="D138" s="134"/>
      <c r="E138" s="426">
        <f>IF(E137=73%,26.8,35.2)</f>
        <v>35.200000000000003</v>
      </c>
      <c r="F138" s="426">
        <f t="shared" ref="F138:J138" si="27">IF(F137=73%,26.8,35.2)</f>
        <v>35.200000000000003</v>
      </c>
      <c r="G138" s="426">
        <f t="shared" si="27"/>
        <v>35.200000000000003</v>
      </c>
      <c r="H138" s="426">
        <f t="shared" si="27"/>
        <v>35.200000000000003</v>
      </c>
      <c r="I138" s="426">
        <f t="shared" si="27"/>
        <v>35.200000000000003</v>
      </c>
      <c r="J138" s="426">
        <f t="shared" si="27"/>
        <v>35.200000000000003</v>
      </c>
    </row>
    <row r="139" spans="2:10" x14ac:dyDescent="0.3">
      <c r="B139" s="413">
        <f t="shared" si="24"/>
        <v>9</v>
      </c>
      <c r="C139" s="414" t="s">
        <v>695</v>
      </c>
      <c r="D139" s="134"/>
      <c r="E139" s="425">
        <f>'[2]FY 25-26'!$Z$921</f>
        <v>0.95</v>
      </c>
      <c r="F139" s="425">
        <f>'[2]FY 25-26'!$Z$921</f>
        <v>0.95</v>
      </c>
      <c r="G139" s="425">
        <f>'[2]FY 26-27'!$Z$921</f>
        <v>0.95</v>
      </c>
      <c r="H139" s="425">
        <f>'[2]FY 27-28'!$Z$921</f>
        <v>0.95</v>
      </c>
      <c r="I139" s="425">
        <f>'[2]FY 28-29'!$Z$921</f>
        <v>0.95</v>
      </c>
      <c r="J139" s="425">
        <f>'[2]FY 29-30'!$Z$921</f>
        <v>0.95</v>
      </c>
    </row>
    <row r="140" spans="2:10" x14ac:dyDescent="0.3">
      <c r="B140" s="413">
        <f>B139+1</f>
        <v>10</v>
      </c>
      <c r="C140" s="414" t="s">
        <v>696</v>
      </c>
      <c r="D140" s="134"/>
      <c r="E140" s="427">
        <f>E138*E139/E137</f>
        <v>35.199999999999996</v>
      </c>
      <c r="F140" s="427">
        <f t="shared" ref="F140:J140" si="28">F138*F139/F137</f>
        <v>35.199999999999996</v>
      </c>
      <c r="G140" s="427">
        <f t="shared" si="28"/>
        <v>35.199999999999996</v>
      </c>
      <c r="H140" s="427">
        <f t="shared" si="28"/>
        <v>35.199999999999996</v>
      </c>
      <c r="I140" s="427">
        <f t="shared" si="28"/>
        <v>35.199999999999996</v>
      </c>
      <c r="J140" s="427">
        <f t="shared" si="28"/>
        <v>35.199999999999996</v>
      </c>
    </row>
    <row r="141" spans="2:10" x14ac:dyDescent="0.3">
      <c r="B141" s="413">
        <f>B140+1</f>
        <v>11</v>
      </c>
      <c r="C141" s="414" t="s">
        <v>697</v>
      </c>
      <c r="D141" s="134"/>
      <c r="E141" s="428">
        <f>(E140*E131*E134/E133)*(85/E135)</f>
        <v>16.435216898665317</v>
      </c>
      <c r="F141" s="428">
        <f t="shared" ref="F141:J141" si="29">(F140*F131*F134/F133)*(85/F135)</f>
        <v>17.500626864055128</v>
      </c>
      <c r="G141" s="428">
        <f t="shared" si="29"/>
        <v>17.500626864055128</v>
      </c>
      <c r="H141" s="428">
        <f t="shared" si="29"/>
        <v>17.500626864055128</v>
      </c>
      <c r="I141" s="428">
        <f t="shared" si="29"/>
        <v>17.500626864055128</v>
      </c>
      <c r="J141" s="428">
        <f t="shared" si="29"/>
        <v>17.500626864055128</v>
      </c>
    </row>
    <row r="142" spans="2:10" x14ac:dyDescent="0.3">
      <c r="B142" s="426"/>
      <c r="C142" s="426"/>
      <c r="D142" s="134"/>
      <c r="E142" s="426"/>
      <c r="F142" s="426"/>
      <c r="G142" s="426"/>
      <c r="H142" s="426"/>
      <c r="I142" s="426"/>
      <c r="J142" s="426"/>
    </row>
    <row r="143" spans="2:10" x14ac:dyDescent="0.3">
      <c r="B143" s="426"/>
      <c r="C143" s="426"/>
      <c r="D143" s="134"/>
      <c r="E143" s="426"/>
      <c r="F143" s="426"/>
      <c r="G143" s="426"/>
      <c r="H143" s="426"/>
      <c r="I143" s="426"/>
      <c r="J143" s="426"/>
    </row>
    <row r="144" spans="2:10" x14ac:dyDescent="0.3">
      <c r="B144" s="413" t="s">
        <v>432</v>
      </c>
      <c r="C144" s="414" t="s">
        <v>698</v>
      </c>
      <c r="D144" s="134"/>
      <c r="E144" s="413"/>
      <c r="F144" s="413"/>
      <c r="G144" s="413"/>
      <c r="H144" s="413"/>
      <c r="I144" s="413"/>
      <c r="J144" s="413"/>
    </row>
    <row r="145" spans="2:10" x14ac:dyDescent="0.3">
      <c r="B145" s="413">
        <v>1</v>
      </c>
      <c r="C145" s="414" t="s">
        <v>699</v>
      </c>
      <c r="D145" s="134"/>
      <c r="E145" s="429">
        <f>E23*0</f>
        <v>0</v>
      </c>
      <c r="F145" s="429">
        <f>F23*274/365</f>
        <v>3689.1359999999995</v>
      </c>
      <c r="G145" s="429">
        <f t="shared" ref="F145:J145" si="30">G23</f>
        <v>4914.3599999999997</v>
      </c>
      <c r="H145" s="429">
        <f t="shared" si="30"/>
        <v>4927.8239999999996</v>
      </c>
      <c r="I145" s="429">
        <f t="shared" si="30"/>
        <v>4914.3599999999997</v>
      </c>
      <c r="J145" s="429">
        <f t="shared" si="30"/>
        <v>4914.3599999999997</v>
      </c>
    </row>
    <row r="146" spans="2:10" x14ac:dyDescent="0.3">
      <c r="B146" s="413">
        <f>B145+1</f>
        <v>2</v>
      </c>
      <c r="C146" s="414" t="s">
        <v>700</v>
      </c>
      <c r="D146" s="134"/>
      <c r="E146" s="430" t="str">
        <f>'[2]FY 25-26'!$Z$928</f>
        <v>Limestone</v>
      </c>
      <c r="F146" s="430" t="str">
        <f>'[2]FY 25-26'!$Z$928</f>
        <v>Limestone</v>
      </c>
      <c r="G146" s="430" t="str">
        <f>'[2]FY 26-27'!$Z$928</f>
        <v>Limestone</v>
      </c>
      <c r="H146" s="430" t="str">
        <f>'[2]FY 27-28'!$Z$928</f>
        <v>Limestone</v>
      </c>
      <c r="I146" s="430" t="str">
        <f>'[2]FY 28-29'!$Z$928</f>
        <v>Limestone</v>
      </c>
      <c r="J146" s="430" t="str">
        <f>'[2]FY 29-30'!$Z$928</f>
        <v>Limestone</v>
      </c>
    </row>
    <row r="147" spans="2:10" x14ac:dyDescent="0.3">
      <c r="B147" s="413">
        <f t="shared" ref="B147:B150" si="31">B146+1</f>
        <v>3</v>
      </c>
      <c r="C147" s="414" t="s">
        <v>697</v>
      </c>
      <c r="D147" s="134"/>
      <c r="E147" s="427">
        <f t="shared" ref="E147" si="32">E141</f>
        <v>16.435216898665317</v>
      </c>
      <c r="F147" s="427">
        <f t="shared" ref="F147:J147" si="33">F141</f>
        <v>17.500626864055128</v>
      </c>
      <c r="G147" s="427">
        <f t="shared" si="33"/>
        <v>17.500626864055128</v>
      </c>
      <c r="H147" s="427">
        <f t="shared" si="33"/>
        <v>17.500626864055128</v>
      </c>
      <c r="I147" s="427">
        <f t="shared" si="33"/>
        <v>17.500626864055128</v>
      </c>
      <c r="J147" s="427">
        <f t="shared" si="33"/>
        <v>17.500626864055128</v>
      </c>
    </row>
    <row r="148" spans="2:10" x14ac:dyDescent="0.3">
      <c r="B148" s="413">
        <f t="shared" si="31"/>
        <v>4</v>
      </c>
      <c r="C148" s="414" t="s">
        <v>701</v>
      </c>
      <c r="D148" s="134"/>
      <c r="E148" s="423">
        <f t="shared" ref="E148" si="34">E145*E147</f>
        <v>0</v>
      </c>
      <c r="F148" s="423">
        <f t="shared" ref="F148:J148" si="35">F145*F147</f>
        <v>64562.19258675287</v>
      </c>
      <c r="G148" s="423">
        <f t="shared" si="35"/>
        <v>86004.38063563795</v>
      </c>
      <c r="H148" s="423">
        <f t="shared" si="35"/>
        <v>86240.009075735594</v>
      </c>
      <c r="I148" s="423">
        <f t="shared" si="35"/>
        <v>86004.38063563795</v>
      </c>
      <c r="J148" s="423">
        <f t="shared" si="35"/>
        <v>86004.38063563795</v>
      </c>
    </row>
    <row r="149" spans="2:10" x14ac:dyDescent="0.3">
      <c r="B149" s="413">
        <f t="shared" si="31"/>
        <v>5</v>
      </c>
      <c r="C149" s="414" t="s">
        <v>702</v>
      </c>
      <c r="D149" s="134"/>
      <c r="E149" s="430" t="str">
        <f>IF(E146="SBC","44895.46","3228.75")</f>
        <v>3228.75</v>
      </c>
      <c r="F149" s="430" t="str">
        <f t="shared" ref="F149:J149" si="36">IF(F146="SBC","44895.46","3228.75")</f>
        <v>3228.75</v>
      </c>
      <c r="G149" s="430" t="str">
        <f t="shared" si="36"/>
        <v>3228.75</v>
      </c>
      <c r="H149" s="430" t="str">
        <f t="shared" si="36"/>
        <v>3228.75</v>
      </c>
      <c r="I149" s="430" t="str">
        <f t="shared" si="36"/>
        <v>3228.75</v>
      </c>
      <c r="J149" s="430" t="str">
        <f t="shared" si="36"/>
        <v>3228.75</v>
      </c>
    </row>
    <row r="150" spans="2:10" x14ac:dyDescent="0.3">
      <c r="B150" s="413">
        <f t="shared" si="31"/>
        <v>6</v>
      </c>
      <c r="C150" s="414" t="s">
        <v>703</v>
      </c>
      <c r="D150" s="153"/>
      <c r="E150" s="428">
        <f>E149*E148/10^7</f>
        <v>0</v>
      </c>
      <c r="F150" s="428">
        <f t="shared" ref="F150:J150" si="37">F149*F148/10^7</f>
        <v>20.845517931447834</v>
      </c>
      <c r="G150" s="428">
        <f t="shared" si="37"/>
        <v>27.768664397731602</v>
      </c>
      <c r="H150" s="428">
        <f t="shared" si="37"/>
        <v>27.844742930328131</v>
      </c>
      <c r="I150" s="428">
        <f t="shared" si="37"/>
        <v>27.768664397731602</v>
      </c>
      <c r="J150" s="428">
        <f t="shared" si="37"/>
        <v>27.768664397731602</v>
      </c>
    </row>
    <row r="151" spans="2:10" x14ac:dyDescent="0.3">
      <c r="B151" s="426"/>
      <c r="C151" s="426"/>
      <c r="D151" s="134"/>
      <c r="E151" s="426"/>
      <c r="F151" s="426"/>
      <c r="G151" s="426"/>
      <c r="H151" s="426"/>
      <c r="I151" s="426"/>
      <c r="J151" s="426"/>
    </row>
    <row r="152" spans="2:10" x14ac:dyDescent="0.3">
      <c r="B152" s="426"/>
      <c r="C152" s="426"/>
      <c r="D152" s="134"/>
      <c r="E152" s="426"/>
      <c r="F152" s="426"/>
      <c r="G152" s="426"/>
      <c r="H152" s="426"/>
      <c r="I152" s="426"/>
      <c r="J152" s="426"/>
    </row>
    <row r="153" spans="2:10" x14ac:dyDescent="0.3">
      <c r="B153" s="413" t="s">
        <v>432</v>
      </c>
      <c r="C153" s="413" t="s">
        <v>704</v>
      </c>
      <c r="D153" s="134"/>
      <c r="E153" s="413"/>
      <c r="F153" s="413"/>
      <c r="G153" s="413"/>
      <c r="H153" s="413"/>
      <c r="I153" s="413"/>
      <c r="J153" s="413"/>
    </row>
    <row r="154" spans="2:10" x14ac:dyDescent="0.3">
      <c r="B154" s="413">
        <v>1</v>
      </c>
      <c r="C154" s="413" t="s">
        <v>699</v>
      </c>
      <c r="D154" s="134"/>
      <c r="E154" s="423">
        <f>E145</f>
        <v>0</v>
      </c>
      <c r="F154" s="423">
        <f t="shared" ref="F154:J154" si="38">F145</f>
        <v>3689.1359999999995</v>
      </c>
      <c r="G154" s="423">
        <f t="shared" si="38"/>
        <v>4914.3599999999997</v>
      </c>
      <c r="H154" s="423">
        <f t="shared" si="38"/>
        <v>4927.8239999999996</v>
      </c>
      <c r="I154" s="423">
        <f t="shared" si="38"/>
        <v>4914.3599999999997</v>
      </c>
      <c r="J154" s="423">
        <f t="shared" si="38"/>
        <v>4914.3599999999997</v>
      </c>
    </row>
    <row r="155" spans="2:10" x14ac:dyDescent="0.3">
      <c r="B155" s="413">
        <f>B154+1</f>
        <v>2</v>
      </c>
      <c r="C155" s="413" t="s">
        <v>700</v>
      </c>
      <c r="D155" s="134"/>
      <c r="E155" s="430" t="str">
        <f>'[2]FY 25-26'!$Z$937</f>
        <v>Ammonia</v>
      </c>
      <c r="F155" s="430" t="str">
        <f>'[2]FY 25-26'!$Z$937</f>
        <v>Ammonia</v>
      </c>
      <c r="G155" s="430" t="str">
        <f>'[2]FY 26-27'!$Z$937</f>
        <v>Ammonia</v>
      </c>
      <c r="H155" s="430" t="str">
        <f>'[2]FY 27-28'!$Z$937</f>
        <v>Ammonia</v>
      </c>
      <c r="I155" s="430" t="str">
        <f>'[2]FY 28-29'!$Z$937</f>
        <v>Ammonia</v>
      </c>
      <c r="J155" s="430" t="str">
        <f>'[2]FY 29-30'!$Z$937</f>
        <v>Ammonia</v>
      </c>
    </row>
    <row r="156" spans="2:10" x14ac:dyDescent="0.3">
      <c r="B156" s="413">
        <f t="shared" ref="B156:B159" si="39">B155+1</f>
        <v>3</v>
      </c>
      <c r="C156" s="413" t="s">
        <v>705</v>
      </c>
      <c r="D156" s="134"/>
      <c r="E156" s="423">
        <f>'[2]FY 25-26'!$Z$938</f>
        <v>0.6</v>
      </c>
      <c r="F156" s="423">
        <f>'[2]FY 25-26'!$Z$938</f>
        <v>0.6</v>
      </c>
      <c r="G156" s="423">
        <f>'[2]FY 26-27'!$Z$938</f>
        <v>0.6</v>
      </c>
      <c r="H156" s="423">
        <f>'[2]FY 27-28'!$Z$938</f>
        <v>0.6</v>
      </c>
      <c r="I156" s="423">
        <f>'[2]FY 28-29'!$Z$938</f>
        <v>0.6</v>
      </c>
      <c r="J156" s="423">
        <f>'[2]FY 29-30'!$Z$938</f>
        <v>0.6</v>
      </c>
    </row>
    <row r="157" spans="2:10" x14ac:dyDescent="0.3">
      <c r="B157" s="413">
        <f t="shared" si="39"/>
        <v>4</v>
      </c>
      <c r="C157" s="413" t="s">
        <v>706</v>
      </c>
      <c r="D157" s="134"/>
      <c r="E157" s="423">
        <f t="shared" ref="E157" si="40">E154*E156</f>
        <v>0</v>
      </c>
      <c r="F157" s="423">
        <f t="shared" ref="F157:J157" si="41">F154*F156</f>
        <v>2213.4815999999996</v>
      </c>
      <c r="G157" s="423">
        <f t="shared" si="41"/>
        <v>2948.6159999999995</v>
      </c>
      <c r="H157" s="423">
        <f t="shared" si="41"/>
        <v>2956.6943999999999</v>
      </c>
      <c r="I157" s="423">
        <f t="shared" si="41"/>
        <v>2948.6159999999995</v>
      </c>
      <c r="J157" s="423">
        <f t="shared" si="41"/>
        <v>2948.6159999999995</v>
      </c>
    </row>
    <row r="158" spans="2:10" x14ac:dyDescent="0.3">
      <c r="B158" s="413">
        <f t="shared" si="39"/>
        <v>5</v>
      </c>
      <c r="C158" s="413" t="s">
        <v>707</v>
      </c>
      <c r="D158" s="134"/>
      <c r="E158" s="426">
        <f>'[2]FY 25-26'!$Z$940</f>
        <v>116.82</v>
      </c>
      <c r="F158" s="426">
        <f>'[2]FY 25-26'!$Z$940</f>
        <v>116.82</v>
      </c>
      <c r="G158" s="426">
        <f>'[2]FY 26-27'!$Z$940</f>
        <v>116.82</v>
      </c>
      <c r="H158" s="426">
        <f>'[2]FY 27-28'!$Z$940</f>
        <v>116.82</v>
      </c>
      <c r="I158" s="426">
        <f>'[2]FY 28-29'!$Z$940</f>
        <v>116.82</v>
      </c>
      <c r="J158" s="426">
        <f>'[2]FY 29-30'!$Z$940</f>
        <v>116.82</v>
      </c>
    </row>
    <row r="159" spans="2:10" x14ac:dyDescent="0.3">
      <c r="B159" s="413">
        <f t="shared" si="39"/>
        <v>6</v>
      </c>
      <c r="C159" s="413" t="s">
        <v>708</v>
      </c>
      <c r="D159" s="134"/>
      <c r="E159" s="423">
        <f>E158*E157/10^7</f>
        <v>0</v>
      </c>
      <c r="F159" s="423">
        <f t="shared" ref="F159:J159" si="42">F158*F157/10^7</f>
        <v>2.5857892051199996E-2</v>
      </c>
      <c r="G159" s="423">
        <f t="shared" si="42"/>
        <v>3.4445732111999992E-2</v>
      </c>
      <c r="H159" s="423">
        <f t="shared" si="42"/>
        <v>3.4540103980799999E-2</v>
      </c>
      <c r="I159" s="423">
        <f t="shared" si="42"/>
        <v>3.4445732111999992E-2</v>
      </c>
      <c r="J159" s="423">
        <f t="shared" si="42"/>
        <v>3.4445732111999992E-2</v>
      </c>
    </row>
    <row r="160" spans="2:10" x14ac:dyDescent="0.3">
      <c r="B160" s="20"/>
      <c r="C160" s="134"/>
      <c r="D160" s="134"/>
      <c r="E160" s="134"/>
      <c r="F160" s="134"/>
      <c r="G160" s="134"/>
      <c r="H160" s="134"/>
      <c r="I160" s="134"/>
      <c r="J160" s="134"/>
    </row>
    <row r="161" spans="2:10" x14ac:dyDescent="0.3">
      <c r="B161" s="49"/>
      <c r="C161" s="153" t="s">
        <v>709</v>
      </c>
      <c r="D161" s="153"/>
      <c r="E161" s="431">
        <f>E150+E159</f>
        <v>0</v>
      </c>
      <c r="F161" s="431">
        <f t="shared" ref="F161:J161" si="43">F150+F159</f>
        <v>20.871375823499033</v>
      </c>
      <c r="G161" s="431">
        <f t="shared" si="43"/>
        <v>27.803110129843603</v>
      </c>
      <c r="H161" s="431">
        <f t="shared" si="43"/>
        <v>27.87928303430893</v>
      </c>
      <c r="I161" s="431">
        <f t="shared" si="43"/>
        <v>27.803110129843603</v>
      </c>
      <c r="J161" s="431">
        <f t="shared" si="43"/>
        <v>27.803110129843603</v>
      </c>
    </row>
  </sheetData>
  <mergeCells count="8">
    <mergeCell ref="B2:K2"/>
    <mergeCell ref="B3:K3"/>
    <mergeCell ref="B4:K4"/>
    <mergeCell ref="B5:K5"/>
    <mergeCell ref="B7:B8"/>
    <mergeCell ref="C7:C8"/>
    <mergeCell ref="D7:D8"/>
    <mergeCell ref="K7:K8"/>
  </mergeCells>
  <phoneticPr fontId="20" type="noConversion"/>
  <dataValidations count="1">
    <dataValidation type="list" allowBlank="1" showInputMessage="1" showErrorMessage="1" sqref="E136:J136" xr:uid="{44CDF191-F316-42AA-B34B-805803EC7E6F}">
      <formula1>$Y$3:$Y$5</formula1>
    </dataValidation>
  </dataValidations>
  <pageMargins left="1.4173228346456701" right="0.511811023622047" top="0.43307086614173201" bottom="0.62992125984252001" header="0.511811023622047" footer="0.511811023622047"/>
  <pageSetup paperSize="9" scale="28"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K28"/>
  <sheetViews>
    <sheetView showGridLines="0" view="pageBreakPreview" zoomScale="70" zoomScaleNormal="75" zoomScaleSheetLayoutView="70" workbookViewId="0">
      <selection activeCell="E23" sqref="E23"/>
    </sheetView>
  </sheetViews>
  <sheetFormatPr defaultColWidth="9.1796875" defaultRowHeight="14" x14ac:dyDescent="0.3"/>
  <cols>
    <col min="1" max="1" width="3.1796875" style="9" customWidth="1"/>
    <col min="2" max="2" width="8" style="9" customWidth="1"/>
    <col min="3" max="3" width="36.453125" style="9" customWidth="1"/>
    <col min="4" max="11" width="15.7265625" style="9" customWidth="1"/>
    <col min="12" max="16384" width="9.1796875" style="9"/>
  </cols>
  <sheetData>
    <row r="2" spans="2:11" x14ac:dyDescent="0.3">
      <c r="B2" s="447" t="s">
        <v>628</v>
      </c>
      <c r="C2" s="439"/>
      <c r="D2" s="439"/>
      <c r="E2" s="439"/>
      <c r="F2" s="439"/>
      <c r="G2" s="439"/>
      <c r="H2" s="439"/>
      <c r="I2" s="439"/>
      <c r="J2" s="439"/>
      <c r="K2" s="439"/>
    </row>
    <row r="3" spans="2:11" x14ac:dyDescent="0.3">
      <c r="B3" s="448" t="s">
        <v>598</v>
      </c>
      <c r="C3" s="439"/>
      <c r="D3" s="439"/>
      <c r="E3" s="439"/>
      <c r="F3" s="439"/>
      <c r="G3" s="439"/>
      <c r="H3" s="439"/>
      <c r="I3" s="439"/>
      <c r="J3" s="439"/>
      <c r="K3" s="439"/>
    </row>
    <row r="4" spans="2:11" x14ac:dyDescent="0.3">
      <c r="B4" s="448" t="s">
        <v>396</v>
      </c>
      <c r="C4" s="439"/>
      <c r="D4" s="439"/>
      <c r="E4" s="439"/>
      <c r="F4" s="439"/>
      <c r="G4" s="439"/>
      <c r="H4" s="439"/>
      <c r="I4" s="439"/>
      <c r="J4" s="439"/>
      <c r="K4" s="439"/>
    </row>
    <row r="5" spans="2:11" x14ac:dyDescent="0.3">
      <c r="B5" s="447" t="s">
        <v>629</v>
      </c>
      <c r="C5" s="439"/>
      <c r="D5" s="439"/>
      <c r="E5" s="439"/>
      <c r="F5" s="439"/>
      <c r="G5" s="439"/>
      <c r="H5" s="439"/>
      <c r="I5" s="439"/>
      <c r="J5" s="439"/>
      <c r="K5" s="439"/>
    </row>
    <row r="6" spans="2:11" x14ac:dyDescent="0.3">
      <c r="B6" s="56"/>
      <c r="C6" s="26"/>
      <c r="D6" s="27"/>
    </row>
    <row r="7" spans="2:11" s="44" customFormat="1" x14ac:dyDescent="0.3">
      <c r="B7" s="463" t="s">
        <v>351</v>
      </c>
      <c r="C7" s="464" t="s">
        <v>49</v>
      </c>
      <c r="D7" s="464" t="s">
        <v>152</v>
      </c>
      <c r="E7" s="298" t="str">
        <f>'F1'!$E$7</f>
        <v>FY 2024-25</v>
      </c>
      <c r="F7" s="298" t="str">
        <f>'F1'!$F$7</f>
        <v>FY 2025-26</v>
      </c>
      <c r="G7" s="298" t="str">
        <f>'F1'!$G$7</f>
        <v>FY 2026-27</v>
      </c>
      <c r="H7" s="298" t="str">
        <f>'F1'!$H$7</f>
        <v>FY 2027-28</v>
      </c>
      <c r="I7" s="298" t="str">
        <f>'F1'!$I$7</f>
        <v>FY 2028-29</v>
      </c>
      <c r="J7" s="298" t="str">
        <f>'F1'!$J$7</f>
        <v>FY 2029-30</v>
      </c>
      <c r="K7" s="452" t="s">
        <v>40</v>
      </c>
    </row>
    <row r="8" spans="2:11" s="45" customFormat="1" ht="44.25" customHeight="1" x14ac:dyDescent="0.25">
      <c r="B8" s="463"/>
      <c r="C8" s="464"/>
      <c r="D8" s="464"/>
      <c r="E8" s="285" t="s">
        <v>569</v>
      </c>
      <c r="F8" s="285" t="s">
        <v>569</v>
      </c>
      <c r="G8" s="400" t="str">
        <f>'F1'!$G$8</f>
        <v>Projection</v>
      </c>
      <c r="H8" s="400" t="str">
        <f>'F1'!$H$8</f>
        <v>Projection</v>
      </c>
      <c r="I8" s="400" t="str">
        <f>'F1'!$I$8</f>
        <v>Projection</v>
      </c>
      <c r="J8" s="400" t="str">
        <f>'F1'!$J$8</f>
        <v>Projection</v>
      </c>
      <c r="K8" s="452"/>
    </row>
    <row r="9" spans="2:11" s="45" customFormat="1" x14ac:dyDescent="0.25">
      <c r="B9" s="138"/>
      <c r="C9" s="137"/>
      <c r="D9" s="156"/>
      <c r="E9" s="48"/>
      <c r="F9" s="48"/>
      <c r="G9" s="48"/>
      <c r="H9" s="48"/>
      <c r="I9" s="48"/>
      <c r="J9" s="48"/>
      <c r="K9" s="48"/>
    </row>
    <row r="10" spans="2:11" s="14" customFormat="1" x14ac:dyDescent="0.3">
      <c r="B10" s="141">
        <v>1</v>
      </c>
      <c r="C10" s="157" t="s">
        <v>153</v>
      </c>
      <c r="D10" s="144" t="s">
        <v>130</v>
      </c>
      <c r="E10" s="325"/>
      <c r="F10" s="325"/>
      <c r="G10" s="325"/>
      <c r="H10" s="325"/>
      <c r="I10" s="325"/>
      <c r="J10" s="325"/>
      <c r="K10" s="48"/>
    </row>
    <row r="11" spans="2:11" s="14" customFormat="1" x14ac:dyDescent="0.3">
      <c r="B11" s="141">
        <f>B10+1</f>
        <v>2</v>
      </c>
      <c r="C11" s="59" t="s">
        <v>154</v>
      </c>
      <c r="D11" s="144" t="s">
        <v>130</v>
      </c>
      <c r="E11" s="325"/>
      <c r="F11" s="325"/>
      <c r="G11" s="325"/>
      <c r="H11" s="325"/>
      <c r="I11" s="325"/>
      <c r="J11" s="325"/>
      <c r="K11" s="48"/>
    </row>
    <row r="12" spans="2:11" s="14" customFormat="1" x14ac:dyDescent="0.3">
      <c r="B12" s="141">
        <f>B11+1</f>
        <v>3</v>
      </c>
      <c r="C12" s="59" t="s">
        <v>155</v>
      </c>
      <c r="D12" s="144" t="s">
        <v>130</v>
      </c>
      <c r="E12" s="48"/>
      <c r="F12" s="48"/>
      <c r="G12" s="48"/>
      <c r="H12" s="48"/>
      <c r="I12" s="48"/>
      <c r="J12" s="48"/>
      <c r="K12" s="48"/>
    </row>
    <row r="13" spans="2:11" s="14" customFormat="1" x14ac:dyDescent="0.3">
      <c r="B13" s="141">
        <f>B12+1</f>
        <v>4</v>
      </c>
      <c r="C13" s="59" t="s">
        <v>156</v>
      </c>
      <c r="D13" s="144" t="s">
        <v>130</v>
      </c>
      <c r="E13" s="49"/>
      <c r="F13" s="49"/>
      <c r="G13" s="49"/>
      <c r="H13" s="49"/>
      <c r="I13" s="49"/>
      <c r="J13" s="49"/>
      <c r="K13" s="49"/>
    </row>
    <row r="14" spans="2:11" s="14" customFormat="1" x14ac:dyDescent="0.3">
      <c r="B14" s="141">
        <f>B13+1</f>
        <v>5</v>
      </c>
      <c r="C14" s="59" t="s">
        <v>157</v>
      </c>
      <c r="D14" s="144" t="s">
        <v>130</v>
      </c>
      <c r="E14" s="49"/>
      <c r="F14" s="49"/>
      <c r="G14" s="49"/>
      <c r="H14" s="49"/>
      <c r="I14" s="49"/>
      <c r="J14" s="49"/>
      <c r="K14" s="49"/>
    </row>
    <row r="15" spans="2:11" s="14" customFormat="1" x14ac:dyDescent="0.3">
      <c r="B15" s="141">
        <v>6</v>
      </c>
      <c r="C15" s="59" t="s">
        <v>590</v>
      </c>
      <c r="D15" s="144" t="s">
        <v>130</v>
      </c>
      <c r="E15" s="49"/>
      <c r="F15" s="49"/>
      <c r="G15" s="49"/>
      <c r="H15" s="49"/>
      <c r="I15" s="49"/>
      <c r="J15" s="49"/>
      <c r="K15" s="49"/>
    </row>
    <row r="16" spans="2:11" s="14" customFormat="1" x14ac:dyDescent="0.3">
      <c r="B16" s="141">
        <v>7</v>
      </c>
      <c r="C16" s="59" t="s">
        <v>592</v>
      </c>
      <c r="D16" s="144" t="s">
        <v>130</v>
      </c>
      <c r="E16" s="49"/>
      <c r="F16" s="49"/>
      <c r="G16" s="49"/>
      <c r="H16" s="49"/>
      <c r="I16" s="49"/>
      <c r="J16" s="49"/>
      <c r="K16" s="49"/>
    </row>
    <row r="17" spans="2:11" s="14" customFormat="1" x14ac:dyDescent="0.3">
      <c r="B17" s="141">
        <v>8</v>
      </c>
      <c r="C17" s="59" t="s">
        <v>634</v>
      </c>
      <c r="D17" s="144" t="s">
        <v>130</v>
      </c>
      <c r="E17" s="326"/>
      <c r="F17" s="326"/>
      <c r="G17" s="326"/>
      <c r="H17" s="326"/>
      <c r="I17" s="326"/>
      <c r="J17" s="326"/>
      <c r="K17" s="49"/>
    </row>
    <row r="18" spans="2:11" s="14" customFormat="1" ht="28" x14ac:dyDescent="0.3">
      <c r="B18" s="168">
        <v>9</v>
      </c>
      <c r="C18" s="61" t="s">
        <v>596</v>
      </c>
      <c r="D18" s="144" t="s">
        <v>130</v>
      </c>
      <c r="E18" s="327">
        <f t="shared" ref="E18:K18" si="0">SUM(E10:E17)</f>
        <v>0</v>
      </c>
      <c r="F18" s="327">
        <f t="shared" si="0"/>
        <v>0</v>
      </c>
      <c r="G18" s="327">
        <f t="shared" si="0"/>
        <v>0</v>
      </c>
      <c r="H18" s="327">
        <f t="shared" si="0"/>
        <v>0</v>
      </c>
      <c r="I18" s="327">
        <f t="shared" si="0"/>
        <v>0</v>
      </c>
      <c r="J18" s="327">
        <f t="shared" si="0"/>
        <v>0</v>
      </c>
      <c r="K18" s="327">
        <f t="shared" si="0"/>
        <v>0</v>
      </c>
    </row>
    <row r="19" spans="2:11" s="14" customFormat="1" x14ac:dyDescent="0.3">
      <c r="B19" s="168"/>
      <c r="C19" s="61"/>
      <c r="D19" s="144"/>
      <c r="E19" s="49"/>
      <c r="F19" s="49"/>
      <c r="G19" s="49"/>
      <c r="H19" s="49"/>
      <c r="I19" s="49"/>
      <c r="J19" s="49"/>
      <c r="K19" s="49"/>
    </row>
    <row r="20" spans="2:11" s="14" customFormat="1" x14ac:dyDescent="0.3">
      <c r="B20" s="141">
        <v>10</v>
      </c>
      <c r="C20" s="60" t="s">
        <v>158</v>
      </c>
      <c r="D20" s="144" t="s">
        <v>110</v>
      </c>
      <c r="E20" s="328">
        <f>'F2.2'!E38</f>
        <v>8.0000000000000002E-3</v>
      </c>
      <c r="F20" s="328">
        <f>'F2.2'!F38</f>
        <v>8.0000000000000002E-3</v>
      </c>
      <c r="G20" s="328">
        <f>'F2.2'!G38</f>
        <v>8.0000000000000002E-3</v>
      </c>
      <c r="H20" s="328">
        <f>'F2.2'!H38</f>
        <v>8.0000000000000002E-3</v>
      </c>
      <c r="I20" s="328">
        <f>'F2.2'!I38</f>
        <v>8.0000000000000002E-3</v>
      </c>
      <c r="J20" s="328">
        <f>'F2.2'!J38</f>
        <v>8.0000000000000002E-3</v>
      </c>
      <c r="K20" s="328">
        <f>'F2.2'!K38</f>
        <v>0</v>
      </c>
    </row>
    <row r="21" spans="2:11" s="14" customFormat="1" x14ac:dyDescent="0.3">
      <c r="B21" s="141">
        <v>11</v>
      </c>
      <c r="C21" s="60" t="s">
        <v>575</v>
      </c>
      <c r="D21" s="144" t="s">
        <v>130</v>
      </c>
      <c r="E21" s="329"/>
      <c r="F21" s="329"/>
      <c r="G21" s="329"/>
      <c r="H21" s="329"/>
      <c r="I21" s="329"/>
      <c r="J21" s="329"/>
      <c r="K21" s="49"/>
    </row>
    <row r="22" spans="2:11" s="14" customFormat="1" x14ac:dyDescent="0.3">
      <c r="B22" s="141"/>
      <c r="C22" s="60"/>
      <c r="D22" s="158"/>
      <c r="E22" s="49"/>
      <c r="F22" s="49"/>
      <c r="G22" s="49"/>
      <c r="H22" s="49"/>
      <c r="I22" s="49"/>
      <c r="J22" s="49"/>
      <c r="K22" s="49"/>
    </row>
    <row r="23" spans="2:11" s="14" customFormat="1" ht="28" x14ac:dyDescent="0.3">
      <c r="B23" s="168">
        <v>12</v>
      </c>
      <c r="C23" s="61" t="s">
        <v>597</v>
      </c>
      <c r="D23" s="159" t="s">
        <v>130</v>
      </c>
      <c r="E23" s="327">
        <v>4835.8614221949092</v>
      </c>
      <c r="F23" s="327">
        <v>5077.6544933046553</v>
      </c>
      <c r="G23" s="327">
        <f>'[3]Bhusawal U-6 Tariff'!$F$41</f>
        <v>5331.5372179698879</v>
      </c>
      <c r="H23" s="327">
        <f>'[3]Bhusawal U-6 Tariff'!$G$41</f>
        <v>5598.1140788683824</v>
      </c>
      <c r="I23" s="327">
        <f>'[3]Bhusawal U-6 Tariff'!$H$41</f>
        <v>5878.0197828118007</v>
      </c>
      <c r="J23" s="327">
        <f>'[3]Bhusawal U-6 Tariff'!$I$41</f>
        <v>6171.9207719523911</v>
      </c>
      <c r="K23" s="49"/>
    </row>
    <row r="24" spans="2:11" s="1" customFormat="1" x14ac:dyDescent="0.3">
      <c r="B24" s="9"/>
      <c r="C24" s="45"/>
      <c r="D24" s="45"/>
      <c r="E24" s="14"/>
      <c r="F24" s="14"/>
      <c r="G24" s="14"/>
      <c r="H24" s="14"/>
      <c r="I24" s="14"/>
      <c r="J24" s="14"/>
      <c r="K24" s="14"/>
    </row>
    <row r="25" spans="2:11" x14ac:dyDescent="0.3">
      <c r="B25" s="15"/>
      <c r="C25" s="15"/>
      <c r="D25" s="15"/>
      <c r="E25" s="1"/>
      <c r="F25" s="1"/>
      <c r="G25" s="1"/>
      <c r="H25" s="1"/>
      <c r="I25" s="1"/>
      <c r="J25" s="1"/>
      <c r="K25" s="1"/>
    </row>
    <row r="26" spans="2:11" x14ac:dyDescent="0.3">
      <c r="B26" s="15"/>
      <c r="C26" s="15"/>
      <c r="D26" s="15"/>
      <c r="E26" s="1"/>
      <c r="F26" s="1"/>
      <c r="G26" s="1"/>
      <c r="H26" s="1"/>
      <c r="I26" s="1"/>
      <c r="J26" s="1"/>
      <c r="K26" s="1"/>
    </row>
    <row r="27" spans="2:11" x14ac:dyDescent="0.3">
      <c r="B27" s="15"/>
      <c r="C27" s="15"/>
      <c r="D27" s="15"/>
      <c r="E27" s="1"/>
      <c r="F27" s="1"/>
      <c r="G27" s="1"/>
      <c r="H27" s="1"/>
      <c r="I27" s="1"/>
      <c r="J27" s="1"/>
      <c r="K27" s="1"/>
    </row>
    <row r="28" spans="2:11" x14ac:dyDescent="0.3">
      <c r="B28" s="15"/>
      <c r="C28" s="15"/>
      <c r="D28" s="15"/>
    </row>
  </sheetData>
  <mergeCells count="8">
    <mergeCell ref="B2:K2"/>
    <mergeCell ref="B3:K3"/>
    <mergeCell ref="B4:K4"/>
    <mergeCell ref="B5:K5"/>
    <mergeCell ref="B7:B8"/>
    <mergeCell ref="C7:C8"/>
    <mergeCell ref="D7:D8"/>
    <mergeCell ref="K7:K8"/>
  </mergeCells>
  <pageMargins left="0.75" right="0.75" top="1" bottom="1" header="0.5" footer="0.5"/>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P44"/>
  <sheetViews>
    <sheetView showGridLines="0" topLeftCell="A23" zoomScale="75" zoomScaleNormal="75" zoomScaleSheetLayoutView="100" workbookViewId="0">
      <selection activeCell="G40" sqref="G40"/>
    </sheetView>
  </sheetViews>
  <sheetFormatPr defaultColWidth="9.1796875" defaultRowHeight="14" x14ac:dyDescent="0.3"/>
  <cols>
    <col min="1" max="1" width="3.1796875" style="9" customWidth="1"/>
    <col min="2" max="2" width="8.26953125" style="90" customWidth="1"/>
    <col min="3" max="3" width="42" style="9" customWidth="1"/>
    <col min="4" max="4" width="13.54296875" style="9" customWidth="1"/>
    <col min="5" max="5" width="19" style="9" customWidth="1"/>
    <col min="6" max="11" width="18.7265625" style="9" customWidth="1"/>
    <col min="12" max="16384" width="9.1796875" style="9"/>
  </cols>
  <sheetData>
    <row r="2" spans="2:16" x14ac:dyDescent="0.3">
      <c r="B2" s="447" t="s">
        <v>628</v>
      </c>
      <c r="C2" s="447"/>
      <c r="D2" s="447"/>
      <c r="E2" s="447"/>
      <c r="F2" s="447"/>
      <c r="G2" s="382"/>
      <c r="H2" s="382"/>
      <c r="I2" s="382"/>
      <c r="J2" s="382"/>
      <c r="K2" s="118"/>
    </row>
    <row r="3" spans="2:16" x14ac:dyDescent="0.3">
      <c r="B3" s="448" t="s">
        <v>598</v>
      </c>
      <c r="C3" s="448"/>
      <c r="D3" s="448"/>
      <c r="E3" s="448"/>
      <c r="F3" s="448"/>
      <c r="G3" s="383"/>
      <c r="H3" s="383"/>
      <c r="I3" s="383"/>
      <c r="J3" s="383"/>
      <c r="K3" s="118"/>
    </row>
    <row r="4" spans="2:16" x14ac:dyDescent="0.3">
      <c r="B4" s="448" t="s">
        <v>397</v>
      </c>
      <c r="C4" s="448"/>
      <c r="D4" s="448"/>
      <c r="E4" s="448"/>
      <c r="F4" s="448"/>
      <c r="G4" s="383"/>
      <c r="H4" s="383"/>
      <c r="I4" s="383"/>
      <c r="J4" s="383"/>
      <c r="K4" s="118"/>
    </row>
    <row r="5" spans="2:16" x14ac:dyDescent="0.3">
      <c r="B5" s="448" t="s">
        <v>629</v>
      </c>
      <c r="C5" s="448"/>
      <c r="D5" s="448"/>
      <c r="E5" s="448"/>
      <c r="F5" s="448"/>
      <c r="G5" s="383"/>
      <c r="H5" s="383"/>
      <c r="I5" s="383"/>
      <c r="J5" s="383"/>
    </row>
    <row r="6" spans="2:16" x14ac:dyDescent="0.3">
      <c r="F6" s="29" t="s">
        <v>16</v>
      </c>
      <c r="G6" s="29"/>
      <c r="H6" s="29"/>
      <c r="I6" s="29"/>
      <c r="J6" s="29"/>
    </row>
    <row r="7" spans="2:16" s="44" customFormat="1" ht="15" customHeight="1" x14ac:dyDescent="0.3">
      <c r="B7" s="463" t="s">
        <v>351</v>
      </c>
      <c r="C7" s="464" t="s">
        <v>49</v>
      </c>
      <c r="D7" s="464" t="s">
        <v>159</v>
      </c>
      <c r="E7" s="298" t="str">
        <f>'F1'!$E$7</f>
        <v>FY 2024-25</v>
      </c>
      <c r="F7" s="298" t="str">
        <f>'F1'!$F$7</f>
        <v>FY 2025-26</v>
      </c>
      <c r="G7" s="298" t="str">
        <f>'F1'!$G$7</f>
        <v>FY 2026-27</v>
      </c>
      <c r="H7" s="298" t="str">
        <f>'F1'!$H$7</f>
        <v>FY 2027-28</v>
      </c>
      <c r="I7" s="298" t="str">
        <f>'F1'!$I$7</f>
        <v>FY 2028-29</v>
      </c>
      <c r="J7" s="298" t="str">
        <f>'F1'!$J$7</f>
        <v>FY 2029-30</v>
      </c>
      <c r="O7" s="57"/>
      <c r="P7" s="57"/>
    </row>
    <row r="8" spans="2:16" s="45" customFormat="1" x14ac:dyDescent="0.25">
      <c r="B8" s="463"/>
      <c r="C8" s="464"/>
      <c r="D8" s="464"/>
      <c r="E8" s="285" t="s">
        <v>541</v>
      </c>
      <c r="F8" s="285" t="s">
        <v>541</v>
      </c>
      <c r="G8" s="400" t="str">
        <f>'F1'!$G$8</f>
        <v>Projection</v>
      </c>
      <c r="H8" s="400" t="str">
        <f>'F1'!$H$8</f>
        <v>Projection</v>
      </c>
      <c r="I8" s="400" t="str">
        <f>'F1'!$I$8</f>
        <v>Projection</v>
      </c>
      <c r="J8" s="400" t="str">
        <f>'F1'!$J$8</f>
        <v>Projection</v>
      </c>
    </row>
    <row r="9" spans="2:16" s="14" customFormat="1" x14ac:dyDescent="0.3">
      <c r="B9" s="168">
        <v>1</v>
      </c>
      <c r="C9" s="160" t="s">
        <v>455</v>
      </c>
      <c r="D9" s="144"/>
      <c r="E9" s="363">
        <v>0.85</v>
      </c>
      <c r="F9" s="363">
        <f>E9</f>
        <v>0.85</v>
      </c>
      <c r="G9" s="363">
        <f>F9</f>
        <v>0.85</v>
      </c>
      <c r="H9" s="363">
        <f>G9</f>
        <v>0.85</v>
      </c>
      <c r="I9" s="363">
        <f>H9</f>
        <v>0.85</v>
      </c>
      <c r="J9" s="363">
        <f>I9</f>
        <v>0.85</v>
      </c>
    </row>
    <row r="10" spans="2:16" s="14" customFormat="1" x14ac:dyDescent="0.3">
      <c r="B10" s="168">
        <v>1.1000000000000001</v>
      </c>
      <c r="C10" s="282" t="s">
        <v>550</v>
      </c>
      <c r="D10" s="144"/>
      <c r="E10" s="49"/>
      <c r="F10" s="49"/>
      <c r="G10" s="49"/>
      <c r="H10" s="49"/>
      <c r="I10" s="49"/>
      <c r="J10" s="49"/>
    </row>
    <row r="11" spans="2:16" s="14" customFormat="1" x14ac:dyDescent="0.3">
      <c r="B11" s="168"/>
      <c r="C11" s="283" t="s">
        <v>551</v>
      </c>
      <c r="D11" s="144"/>
      <c r="E11" s="49"/>
      <c r="F11" s="49"/>
      <c r="G11" s="49"/>
      <c r="H11" s="49"/>
      <c r="I11" s="49"/>
      <c r="J11" s="49"/>
    </row>
    <row r="12" spans="2:16" s="14" customFormat="1" x14ac:dyDescent="0.3">
      <c r="B12" s="168"/>
      <c r="C12" s="283" t="s">
        <v>552</v>
      </c>
      <c r="D12" s="144"/>
      <c r="E12" s="49"/>
      <c r="F12" s="49"/>
      <c r="G12" s="49"/>
      <c r="H12" s="49"/>
      <c r="I12" s="49"/>
      <c r="J12" s="49"/>
    </row>
    <row r="13" spans="2:16" s="14" customFormat="1" x14ac:dyDescent="0.3">
      <c r="B13" s="168">
        <v>1.2</v>
      </c>
      <c r="C13" s="282" t="s">
        <v>553</v>
      </c>
      <c r="D13" s="144"/>
      <c r="E13" s="49"/>
      <c r="F13" s="49"/>
      <c r="G13" s="49"/>
      <c r="H13" s="49"/>
      <c r="I13" s="49"/>
      <c r="J13" s="49"/>
    </row>
    <row r="14" spans="2:16" s="14" customFormat="1" x14ac:dyDescent="0.3">
      <c r="B14" s="168"/>
      <c r="C14" s="283" t="s">
        <v>551</v>
      </c>
      <c r="D14" s="144"/>
      <c r="E14" s="49"/>
      <c r="F14" s="49"/>
      <c r="G14" s="49"/>
      <c r="H14" s="49"/>
      <c r="I14" s="49"/>
      <c r="J14" s="49"/>
    </row>
    <row r="15" spans="2:16" s="14" customFormat="1" x14ac:dyDescent="0.3">
      <c r="B15" s="168"/>
      <c r="C15" s="283" t="s">
        <v>552</v>
      </c>
      <c r="D15" s="144"/>
      <c r="E15" s="49"/>
      <c r="F15" s="49"/>
      <c r="G15" s="49"/>
      <c r="H15" s="49"/>
      <c r="I15" s="49"/>
      <c r="J15" s="49"/>
    </row>
    <row r="16" spans="2:16" s="14" customFormat="1" x14ac:dyDescent="0.3">
      <c r="B16" s="168">
        <v>2</v>
      </c>
      <c r="C16" s="160" t="s">
        <v>599</v>
      </c>
      <c r="D16" s="144"/>
      <c r="E16" s="293"/>
      <c r="F16" s="293"/>
      <c r="G16" s="293"/>
      <c r="H16" s="293"/>
      <c r="I16" s="293"/>
      <c r="J16" s="293"/>
    </row>
    <row r="17" spans="2:15" s="14" customFormat="1" x14ac:dyDescent="0.3">
      <c r="B17" s="168">
        <v>3</v>
      </c>
      <c r="C17" s="160" t="s">
        <v>623</v>
      </c>
      <c r="D17" s="144"/>
      <c r="E17" s="352">
        <f>'F2.2'!E31</f>
        <v>739.16686800000002</v>
      </c>
      <c r="F17" s="352">
        <f>'F2.2'!F31</f>
        <v>4572.8119799999995</v>
      </c>
      <c r="G17" s="352">
        <f>'F2.2'!G31</f>
        <v>4572.8119799999995</v>
      </c>
      <c r="H17" s="352">
        <f>'F2.2'!H31</f>
        <v>4585.3402319999996</v>
      </c>
      <c r="I17" s="352">
        <f>'F2.2'!I31</f>
        <v>4572.8119799999995</v>
      </c>
      <c r="J17" s="352">
        <f>'F2.2'!J31</f>
        <v>4572.8119799999995</v>
      </c>
    </row>
    <row r="18" spans="2:15" s="14" customFormat="1" ht="30" x14ac:dyDescent="0.3">
      <c r="B18" s="168">
        <v>3</v>
      </c>
      <c r="C18" s="160" t="s">
        <v>338</v>
      </c>
      <c r="D18" s="144">
        <v>1</v>
      </c>
      <c r="E18" s="322">
        <f>'F2.2'!E96/12*$D18</f>
        <v>21.404391247935838</v>
      </c>
      <c r="F18" s="322">
        <f>'F2.2'!F96/12*$D18</f>
        <v>114.08331165782924</v>
      </c>
      <c r="G18" s="322">
        <f>'F2.2'!G96/12*$D18</f>
        <v>119.79643030154068</v>
      </c>
      <c r="H18" s="322">
        <f>'F2.2'!H96/12*$D18</f>
        <v>126.24218643887444</v>
      </c>
      <c r="I18" s="322">
        <f>'F2.2'!I96/12*$D18</f>
        <v>132.09530590655663</v>
      </c>
      <c r="J18" s="322">
        <f>'F2.2'!J96/12*$D18</f>
        <v>138.67416048430519</v>
      </c>
    </row>
    <row r="19" spans="2:15" s="14" customFormat="1" ht="16" x14ac:dyDescent="0.3">
      <c r="B19" s="168">
        <f>B18+1</f>
        <v>4</v>
      </c>
      <c r="C19" s="160" t="s">
        <v>341</v>
      </c>
      <c r="D19" s="144">
        <v>1</v>
      </c>
      <c r="E19" s="352">
        <f>'F2.2'!E96/12*$D19</f>
        <v>21.404391247935838</v>
      </c>
      <c r="F19" s="352">
        <f>'F2.2'!F96/12*$D19</f>
        <v>114.08331165782924</v>
      </c>
      <c r="G19" s="352">
        <f>'F2.2'!G96/12*$D19</f>
        <v>119.79643030154068</v>
      </c>
      <c r="H19" s="352">
        <f>'F2.2'!H96/12*$D19</f>
        <v>126.24218643887444</v>
      </c>
      <c r="I19" s="352">
        <f>'F2.2'!I96/12*$D19</f>
        <v>132.09530590655663</v>
      </c>
      <c r="J19" s="352">
        <f>'F2.2'!J96/12*$D19</f>
        <v>138.67416048430519</v>
      </c>
    </row>
    <row r="20" spans="2:15" s="14" customFormat="1" ht="16" x14ac:dyDescent="0.3">
      <c r="B20" s="168">
        <f t="shared" ref="B20:B33" si="0">B19+1</f>
        <v>5</v>
      </c>
      <c r="C20" s="59" t="s">
        <v>339</v>
      </c>
      <c r="D20" s="144"/>
      <c r="E20" s="49"/>
      <c r="F20" s="49"/>
      <c r="G20" s="49"/>
      <c r="H20" s="49"/>
      <c r="I20" s="49"/>
      <c r="J20" s="49"/>
    </row>
    <row r="21" spans="2:15" s="14" customFormat="1" ht="16" x14ac:dyDescent="0.3">
      <c r="B21" s="168">
        <f t="shared" si="0"/>
        <v>6</v>
      </c>
      <c r="C21" s="59" t="s">
        <v>340</v>
      </c>
      <c r="D21" s="144"/>
      <c r="E21" s="49"/>
      <c r="F21" s="49"/>
      <c r="G21" s="49"/>
      <c r="H21" s="49"/>
      <c r="I21" s="49"/>
      <c r="J21" s="49"/>
    </row>
    <row r="22" spans="2:15" s="14" customFormat="1" ht="16" x14ac:dyDescent="0.3">
      <c r="B22" s="168">
        <f t="shared" si="0"/>
        <v>7</v>
      </c>
      <c r="C22" s="59" t="s">
        <v>160</v>
      </c>
      <c r="D22" s="144">
        <v>2</v>
      </c>
      <c r="E22" s="352">
        <f>'F2.2'!E98/12*$D22</f>
        <v>0.396595584</v>
      </c>
      <c r="F22" s="352">
        <f>'F2.2'!F98/12*$D22</f>
        <v>1.4407051953873637</v>
      </c>
      <c r="G22" s="352">
        <f>'F2.2'!G98/12*$D22</f>
        <v>1.5127404551567321</v>
      </c>
      <c r="H22" s="352">
        <f>'F2.2'!H98/12*$D22</f>
        <v>1.5883774779145687</v>
      </c>
      <c r="I22" s="352">
        <f>'F2.2'!I98/12*$D22</f>
        <v>1.6677963518102972</v>
      </c>
      <c r="J22" s="352">
        <f>'F2.2'!J98/12*$D22</f>
        <v>1.751186169400812</v>
      </c>
    </row>
    <row r="23" spans="2:15" s="14" customFormat="1" ht="16" x14ac:dyDescent="0.3">
      <c r="B23" s="168">
        <f t="shared" si="0"/>
        <v>8</v>
      </c>
      <c r="C23" s="59" t="s">
        <v>161</v>
      </c>
      <c r="D23" s="158"/>
      <c r="E23" s="49"/>
      <c r="F23" s="49"/>
      <c r="G23" s="49"/>
      <c r="H23" s="49"/>
      <c r="I23" s="49"/>
      <c r="J23" s="49"/>
    </row>
    <row r="24" spans="2:15" s="14" customFormat="1" ht="16" x14ac:dyDescent="0.3">
      <c r="B24" s="168">
        <f t="shared" si="0"/>
        <v>9</v>
      </c>
      <c r="C24" s="59" t="s">
        <v>162</v>
      </c>
      <c r="D24" s="158"/>
      <c r="E24" s="49"/>
      <c r="F24" s="49"/>
      <c r="G24" s="49"/>
      <c r="H24" s="49"/>
      <c r="I24" s="49"/>
      <c r="J24" s="49"/>
    </row>
    <row r="25" spans="2:15" s="14" customFormat="1" x14ac:dyDescent="0.3">
      <c r="B25" s="168">
        <f t="shared" si="0"/>
        <v>10</v>
      </c>
      <c r="C25" s="60" t="s">
        <v>182</v>
      </c>
      <c r="D25" s="158">
        <v>1</v>
      </c>
      <c r="E25" s="352">
        <f>'F3'!E9/12*$D25</f>
        <v>1.5613972602739723</v>
      </c>
      <c r="F25" s="352">
        <f>'F3'!F9/12*$D25</f>
        <v>13.3155</v>
      </c>
      <c r="G25" s="352">
        <f>'F3'!G9/12*$D25</f>
        <v>13.893000000000001</v>
      </c>
      <c r="H25" s="352">
        <f>'F3'!H9/12*$D25</f>
        <v>14.497999999999999</v>
      </c>
      <c r="I25" s="352">
        <f>'F3'!I9/12*$D25</f>
        <v>15.125</v>
      </c>
      <c r="J25" s="352">
        <f>'F3'!J9/12*$D25</f>
        <v>15.724500000000001</v>
      </c>
    </row>
    <row r="26" spans="2:15" s="14" customFormat="1" x14ac:dyDescent="0.3">
      <c r="B26" s="168">
        <f t="shared" si="0"/>
        <v>11</v>
      </c>
      <c r="C26" s="60" t="s">
        <v>163</v>
      </c>
      <c r="D26" s="364">
        <v>0.01</v>
      </c>
      <c r="E26" s="352">
        <f>('F5'!E13-808.3)*D26/365*60</f>
        <v>8.5778727708273106</v>
      </c>
      <c r="F26" s="352">
        <f>('F5'!E13-808.3)*D26</f>
        <v>52.182059355866144</v>
      </c>
      <c r="G26" s="352">
        <f>('F5'!N13-808.3)*$D$26</f>
        <v>52.182059355866144</v>
      </c>
      <c r="H26" s="352">
        <f>('F5'!S13-808.3)*D26</f>
        <v>52.182059355866144</v>
      </c>
      <c r="I26" s="352">
        <f>('F5'!X13-808.3)*D26</f>
        <v>52.182059355866144</v>
      </c>
      <c r="J26" s="352">
        <f>('F5'!AC13-808.3)*D26</f>
        <v>52.182059355866144</v>
      </c>
    </row>
    <row r="27" spans="2:15" s="14" customFormat="1" x14ac:dyDescent="0.3">
      <c r="B27" s="168">
        <f t="shared" si="0"/>
        <v>12</v>
      </c>
      <c r="C27" s="60" t="s">
        <v>164</v>
      </c>
      <c r="D27" s="158">
        <v>1.5</v>
      </c>
      <c r="E27" s="352">
        <f ca="1">'F1'!E22/12*$D27</f>
        <v>54.868217280595019</v>
      </c>
      <c r="F27" s="352">
        <f ca="1">'F1'!F22/12*$D27</f>
        <v>394.50804652682109</v>
      </c>
      <c r="G27" s="352">
        <f ca="1">'F1'!G22/12*$D27</f>
        <v>403.72991381545023</v>
      </c>
      <c r="H27" s="352">
        <f ca="1">'F1'!H22/12*$D27</f>
        <v>411.13125135372951</v>
      </c>
      <c r="I27" s="352">
        <f ca="1">'F1'!I22/12*$D27</f>
        <v>417.64009015588516</v>
      </c>
      <c r="J27" s="352">
        <f ca="1">'F1'!J22/12*$D27</f>
        <v>425.24881746090625</v>
      </c>
    </row>
    <row r="28" spans="2:15" s="14" customFormat="1" ht="16" x14ac:dyDescent="0.3">
      <c r="B28" s="168">
        <f t="shared" si="0"/>
        <v>13</v>
      </c>
      <c r="C28" s="60" t="s">
        <v>514</v>
      </c>
      <c r="D28" s="158"/>
      <c r="E28" s="41"/>
      <c r="F28" s="41"/>
      <c r="G28" s="41"/>
      <c r="H28" s="41"/>
      <c r="I28" s="41"/>
      <c r="J28" s="41"/>
      <c r="K28" s="57"/>
      <c r="L28" s="57"/>
      <c r="M28" s="57"/>
      <c r="N28" s="57"/>
      <c r="O28" s="57"/>
    </row>
    <row r="29" spans="2:15" x14ac:dyDescent="0.3">
      <c r="B29" s="168">
        <f t="shared" si="0"/>
        <v>14</v>
      </c>
      <c r="C29" s="143" t="s">
        <v>165</v>
      </c>
      <c r="D29" s="21"/>
      <c r="E29" s="352">
        <f t="shared" ref="E29:J29" ca="1" si="1">SUM(E18:E28)</f>
        <v>108.21286539156799</v>
      </c>
      <c r="F29" s="352">
        <f t="shared" ca="1" si="1"/>
        <v>689.6129343937331</v>
      </c>
      <c r="G29" s="352">
        <f t="shared" ca="1" si="1"/>
        <v>710.91057422955441</v>
      </c>
      <c r="H29" s="352">
        <f t="shared" ca="1" si="1"/>
        <v>731.88406106525917</v>
      </c>
      <c r="I29" s="352">
        <f t="shared" ca="1" si="1"/>
        <v>750.80555767667488</v>
      </c>
      <c r="J29" s="352">
        <f t="shared" ca="1" si="1"/>
        <v>772.25488395478351</v>
      </c>
    </row>
    <row r="30" spans="2:15" x14ac:dyDescent="0.3">
      <c r="B30" s="199"/>
      <c r="C30" s="20"/>
      <c r="D30" s="21"/>
      <c r="E30" s="20"/>
      <c r="F30" s="20"/>
      <c r="G30" s="20"/>
      <c r="H30" s="20"/>
      <c r="I30" s="20"/>
      <c r="J30" s="20"/>
    </row>
    <row r="31" spans="2:15" x14ac:dyDescent="0.3">
      <c r="B31" s="168">
        <v>13</v>
      </c>
      <c r="C31" s="173" t="s">
        <v>390</v>
      </c>
      <c r="D31" s="21"/>
      <c r="E31" s="20"/>
      <c r="F31" s="20"/>
      <c r="G31" s="20"/>
      <c r="H31" s="20"/>
      <c r="I31" s="20"/>
      <c r="J31" s="20"/>
    </row>
    <row r="32" spans="2:15" s="1" customFormat="1" ht="28" x14ac:dyDescent="0.3">
      <c r="B32" s="168">
        <f t="shared" si="0"/>
        <v>14</v>
      </c>
      <c r="C32" s="60" t="s">
        <v>391</v>
      </c>
      <c r="D32" s="21"/>
      <c r="E32" s="436">
        <f>'[2]FY 25-26'!$E$836</f>
        <v>0.1045</v>
      </c>
      <c r="F32" s="436">
        <f>E32</f>
        <v>0.1045</v>
      </c>
      <c r="G32" s="436">
        <f>F32</f>
        <v>0.1045</v>
      </c>
      <c r="H32" s="436">
        <f>G32</f>
        <v>0.1045</v>
      </c>
      <c r="I32" s="436">
        <f>H32</f>
        <v>0.1045</v>
      </c>
      <c r="J32" s="436">
        <f>I32</f>
        <v>0.1045</v>
      </c>
    </row>
    <row r="33" spans="2:10" s="1" customFormat="1" x14ac:dyDescent="0.3">
      <c r="B33" s="159">
        <f t="shared" si="0"/>
        <v>15</v>
      </c>
      <c r="C33" s="61" t="s">
        <v>98</v>
      </c>
      <c r="D33" s="21"/>
      <c r="E33" s="352">
        <f t="shared" ref="E33:J33" ca="1" si="2">E29*E32</f>
        <v>11.308244433418855</v>
      </c>
      <c r="F33" s="352">
        <f t="shared" ca="1" si="2"/>
        <v>72.064551644145112</v>
      </c>
      <c r="G33" s="352">
        <f t="shared" ca="1" si="2"/>
        <v>74.290155006988428</v>
      </c>
      <c r="H33" s="352">
        <f t="shared" ca="1" si="2"/>
        <v>76.481884381319574</v>
      </c>
      <c r="I33" s="352">
        <f t="shared" ca="1" si="2"/>
        <v>78.459180777212524</v>
      </c>
      <c r="J33" s="352">
        <f t="shared" ca="1" si="2"/>
        <v>80.700635373274878</v>
      </c>
    </row>
    <row r="35" spans="2:10" x14ac:dyDescent="0.3">
      <c r="B35" s="66" t="s">
        <v>643</v>
      </c>
    </row>
    <row r="36" spans="2:10" x14ac:dyDescent="0.3">
      <c r="B36" s="463" t="s">
        <v>351</v>
      </c>
      <c r="C36" s="464" t="s">
        <v>49</v>
      </c>
      <c r="D36" s="464" t="s">
        <v>159</v>
      </c>
      <c r="E36" s="298" t="s">
        <v>507</v>
      </c>
      <c r="F36" s="298" t="s">
        <v>653</v>
      </c>
      <c r="G36" s="298" t="str">
        <f>'F1'!$G$7</f>
        <v>FY 2026-27</v>
      </c>
      <c r="H36" s="298" t="str">
        <f>'F1'!$H$7</f>
        <v>FY 2027-28</v>
      </c>
      <c r="I36" s="298" t="str">
        <f>'F1'!$I$7</f>
        <v>FY 2028-29</v>
      </c>
      <c r="J36" s="298" t="str">
        <f>'F1'!$J$7</f>
        <v>FY 2029-30</v>
      </c>
    </row>
    <row r="37" spans="2:10" x14ac:dyDescent="0.3">
      <c r="B37" s="463"/>
      <c r="C37" s="464"/>
      <c r="D37" s="464"/>
      <c r="E37" s="304" t="s">
        <v>541</v>
      </c>
      <c r="F37" s="304" t="s">
        <v>541</v>
      </c>
      <c r="G37" s="406" t="str">
        <f>'F1'!$G$8</f>
        <v>Projection</v>
      </c>
      <c r="H37" s="406" t="str">
        <f>'F1'!$H$8</f>
        <v>Projection</v>
      </c>
      <c r="I37" s="406" t="str">
        <f>'F1'!$I$8</f>
        <v>Projection</v>
      </c>
      <c r="J37" s="406" t="str">
        <f>'F1'!$J$8</f>
        <v>Projection</v>
      </c>
    </row>
    <row r="38" spans="2:10" x14ac:dyDescent="0.3">
      <c r="B38" s="172">
        <v>1</v>
      </c>
      <c r="C38" s="366" t="s">
        <v>644</v>
      </c>
      <c r="D38" s="20">
        <v>20</v>
      </c>
      <c r="E38" s="329">
        <f>'F2.2'!E161/365*$D38</f>
        <v>0</v>
      </c>
      <c r="F38" s="329">
        <f>'F2.2'!F161/365*$D38</f>
        <v>1.1436370314246045</v>
      </c>
      <c r="G38" s="329">
        <f>'F2.2'!G161/365*$D38</f>
        <v>1.5234580893064988</v>
      </c>
      <c r="H38" s="329">
        <f>'F2.2'!H161/366*$D38</f>
        <v>1.5234580893064988</v>
      </c>
      <c r="I38" s="329">
        <f>'F2.2'!I161/365*$D38</f>
        <v>1.5234580893064988</v>
      </c>
      <c r="J38" s="329">
        <f>'F2.2'!J161/365*$D38</f>
        <v>1.5234580893064988</v>
      </c>
    </row>
    <row r="39" spans="2:10" ht="25.5" x14ac:dyDescent="0.3">
      <c r="B39" s="172">
        <f>B38+1</f>
        <v>2</v>
      </c>
      <c r="C39" s="366" t="s">
        <v>645</v>
      </c>
      <c r="D39" s="20">
        <v>30</v>
      </c>
      <c r="E39" s="329">
        <f>'F2.2'!E161/365*$D39</f>
        <v>0</v>
      </c>
      <c r="F39" s="329">
        <f>'F2.2'!F161/365*$D39</f>
        <v>1.7154555471369068</v>
      </c>
      <c r="G39" s="329">
        <f>'F2.2'!G161/365*$D39</f>
        <v>2.2851871339597483</v>
      </c>
      <c r="H39" s="329">
        <f>'F2.2'!H161/365*$D39</f>
        <v>2.2914479206281313</v>
      </c>
      <c r="I39" s="329">
        <f>'F2.2'!I161/365*$D39</f>
        <v>2.2851871339597483</v>
      </c>
      <c r="J39" s="329">
        <f>'F2.2'!J161/365*$D39</f>
        <v>2.2851871339597483</v>
      </c>
    </row>
    <row r="40" spans="2:10" ht="25.5" x14ac:dyDescent="0.3">
      <c r="B40" s="172">
        <f t="shared" ref="B40:B44" si="3">B39+1</f>
        <v>3</v>
      </c>
      <c r="C40" s="366" t="s">
        <v>646</v>
      </c>
      <c r="D40" s="20">
        <v>1</v>
      </c>
      <c r="E40" s="329">
        <f>'F3'!E10/12*$D40</f>
        <v>0</v>
      </c>
      <c r="F40" s="329">
        <f>'F3'!F10/12*$D40</f>
        <v>1.0550869080365295</v>
      </c>
      <c r="G40" s="329">
        <f>'F3'!G10/12*$D40</f>
        <v>1.4663570893116666</v>
      </c>
      <c r="H40" s="329">
        <f>'F3'!H10/12*$D40</f>
        <v>1.5298503512788615</v>
      </c>
      <c r="I40" s="329">
        <f>'F3'!I10/12*$D40</f>
        <v>1.5960928714892362</v>
      </c>
      <c r="J40" s="329">
        <f>'F3'!J10/12*$D40</f>
        <v>1.66520369282472</v>
      </c>
    </row>
    <row r="41" spans="2:10" ht="14.5" x14ac:dyDescent="0.35">
      <c r="B41" s="172">
        <f t="shared" si="3"/>
        <v>4</v>
      </c>
      <c r="C41" s="368" t="s">
        <v>163</v>
      </c>
      <c r="D41" s="365">
        <v>0.01</v>
      </c>
      <c r="E41" s="326">
        <f>'F4'!$D$13*$D41</f>
        <v>0</v>
      </c>
      <c r="F41" s="326">
        <f>'F4'!$E$13*$D41</f>
        <v>8.0830000000000002</v>
      </c>
      <c r="G41" s="326">
        <f>'F4'!$E$13*$D41</f>
        <v>8.0830000000000002</v>
      </c>
      <c r="H41" s="326">
        <f>'F4'!$E$13*$D41</f>
        <v>8.0830000000000002</v>
      </c>
      <c r="I41" s="326">
        <f>'F4'!$E$13*$D41</f>
        <v>8.0830000000000002</v>
      </c>
      <c r="J41" s="326">
        <f>'F4'!$E$13*$D41</f>
        <v>8.0830000000000002</v>
      </c>
    </row>
    <row r="42" spans="2:10" ht="14.5" x14ac:dyDescent="0.35">
      <c r="B42" s="133">
        <f t="shared" si="3"/>
        <v>5</v>
      </c>
      <c r="C42" s="367" t="s">
        <v>647</v>
      </c>
      <c r="D42" s="49"/>
      <c r="E42" s="352">
        <f>SUM(E38:E41)</f>
        <v>0</v>
      </c>
      <c r="F42" s="352">
        <f>SUM(F38:F41)</f>
        <v>11.997179486598041</v>
      </c>
      <c r="G42" s="352">
        <f t="shared" ref="G42:J42" si="4">SUM(G38:G41)</f>
        <v>13.358002312577913</v>
      </c>
      <c r="H42" s="352">
        <f t="shared" si="4"/>
        <v>13.427756361213492</v>
      </c>
      <c r="I42" s="352">
        <f t="shared" si="4"/>
        <v>13.487738094755484</v>
      </c>
      <c r="J42" s="352">
        <f t="shared" si="4"/>
        <v>13.556848916090967</v>
      </c>
    </row>
    <row r="43" spans="2:10" ht="28" x14ac:dyDescent="0.3">
      <c r="B43" s="172">
        <f t="shared" si="3"/>
        <v>6</v>
      </c>
      <c r="C43" s="60" t="s">
        <v>391</v>
      </c>
      <c r="D43" s="20"/>
      <c r="E43" s="328">
        <f>E32</f>
        <v>0.1045</v>
      </c>
      <c r="F43" s="328">
        <f>F32</f>
        <v>0.1045</v>
      </c>
      <c r="G43" s="328">
        <f t="shared" ref="G43:J43" si="5">G32</f>
        <v>0.1045</v>
      </c>
      <c r="H43" s="328">
        <f t="shared" si="5"/>
        <v>0.1045</v>
      </c>
      <c r="I43" s="328">
        <f t="shared" si="5"/>
        <v>0.1045</v>
      </c>
      <c r="J43" s="328">
        <f t="shared" si="5"/>
        <v>0.1045</v>
      </c>
    </row>
    <row r="44" spans="2:10" x14ac:dyDescent="0.3">
      <c r="B44" s="172">
        <f t="shared" si="3"/>
        <v>7</v>
      </c>
      <c r="C44" s="49" t="s">
        <v>648</v>
      </c>
      <c r="D44" s="49"/>
      <c r="E44" s="322">
        <f>E42*E43</f>
        <v>0</v>
      </c>
      <c r="F44" s="322">
        <f>F42*F43</f>
        <v>1.2537052563494953</v>
      </c>
      <c r="G44" s="322">
        <f t="shared" ref="G44:J44" si="6">G42*G43</f>
        <v>1.3959112416643917</v>
      </c>
      <c r="H44" s="322">
        <f t="shared" si="6"/>
        <v>1.4032005397468099</v>
      </c>
      <c r="I44" s="322">
        <f t="shared" si="6"/>
        <v>1.409468630901948</v>
      </c>
      <c r="J44" s="322">
        <f t="shared" si="6"/>
        <v>1.416690711731506</v>
      </c>
    </row>
  </sheetData>
  <mergeCells count="10">
    <mergeCell ref="B36:B37"/>
    <mergeCell ref="C36:C37"/>
    <mergeCell ref="D36:D37"/>
    <mergeCell ref="B2:F2"/>
    <mergeCell ref="B3:F3"/>
    <mergeCell ref="B4:F4"/>
    <mergeCell ref="B5:F5"/>
    <mergeCell ref="B7:B8"/>
    <mergeCell ref="C7:C8"/>
    <mergeCell ref="D7:D8"/>
  </mergeCells>
  <pageMargins left="0.74803149606299213" right="0.74803149606299213" top="0.98425196850393704" bottom="0.98425196850393704" header="0.51181102362204722" footer="0.51181102362204722"/>
  <pageSetup paperSize="9" fitToHeight="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K19"/>
  <sheetViews>
    <sheetView showGridLines="0" view="pageBreakPreview" zoomScale="80" zoomScaleNormal="75" zoomScaleSheetLayoutView="80" workbookViewId="0">
      <selection activeCell="G8" sqref="G8:J9"/>
    </sheetView>
  </sheetViews>
  <sheetFormatPr defaultColWidth="9.1796875" defaultRowHeight="14" x14ac:dyDescent="0.3"/>
  <cols>
    <col min="1" max="1" width="4.1796875" style="9" customWidth="1"/>
    <col min="2" max="2" width="6.26953125" style="9" customWidth="1"/>
    <col min="3" max="3" width="44.81640625" style="9" customWidth="1"/>
    <col min="4" max="4" width="10.26953125" style="55" customWidth="1"/>
    <col min="5" max="10" width="18.54296875" style="9" customWidth="1"/>
    <col min="11" max="11" width="15.7265625" style="9" customWidth="1"/>
    <col min="12" max="16384" width="9.1796875" style="9"/>
  </cols>
  <sheetData>
    <row r="2" spans="2:11" x14ac:dyDescent="0.3">
      <c r="B2" s="447" t="s">
        <v>628</v>
      </c>
      <c r="C2" s="439"/>
      <c r="D2" s="439"/>
      <c r="E2" s="439"/>
      <c r="F2" s="439"/>
      <c r="G2" s="439"/>
      <c r="H2" s="439"/>
      <c r="I2" s="439"/>
      <c r="J2" s="439"/>
      <c r="K2" s="439"/>
    </row>
    <row r="3" spans="2:11" x14ac:dyDescent="0.3">
      <c r="B3" s="448" t="s">
        <v>598</v>
      </c>
      <c r="C3" s="439"/>
      <c r="D3" s="439"/>
      <c r="E3" s="439"/>
      <c r="F3" s="439"/>
      <c r="G3" s="439"/>
      <c r="H3" s="439"/>
      <c r="I3" s="439"/>
      <c r="J3" s="439"/>
      <c r="K3" s="439"/>
    </row>
    <row r="4" spans="2:11" x14ac:dyDescent="0.3">
      <c r="B4" s="448" t="s">
        <v>398</v>
      </c>
      <c r="C4" s="439"/>
      <c r="D4" s="439"/>
      <c r="E4" s="439"/>
      <c r="F4" s="439"/>
      <c r="G4" s="439"/>
      <c r="H4" s="439"/>
      <c r="I4" s="439"/>
      <c r="J4" s="439"/>
      <c r="K4" s="439"/>
    </row>
    <row r="5" spans="2:11" x14ac:dyDescent="0.3">
      <c r="B5" s="447" t="s">
        <v>629</v>
      </c>
      <c r="C5" s="439"/>
      <c r="D5" s="439"/>
      <c r="E5" s="439"/>
      <c r="F5" s="439"/>
      <c r="G5" s="439"/>
      <c r="H5" s="439"/>
      <c r="I5" s="439"/>
      <c r="J5" s="439"/>
      <c r="K5" s="439"/>
    </row>
    <row r="6" spans="2:11" x14ac:dyDescent="0.3">
      <c r="B6" s="136"/>
      <c r="C6" s="135"/>
      <c r="D6" s="135"/>
      <c r="E6" s="135"/>
      <c r="F6" s="135"/>
      <c r="G6" s="381"/>
      <c r="H6" s="381"/>
      <c r="I6" s="381"/>
      <c r="J6" s="381"/>
      <c r="K6" s="135"/>
    </row>
    <row r="7" spans="2:11" s="24" customFormat="1" x14ac:dyDescent="0.3">
      <c r="B7" s="42"/>
      <c r="C7" s="16"/>
      <c r="D7" s="43"/>
      <c r="E7" s="25"/>
      <c r="F7" s="25"/>
      <c r="G7" s="25"/>
      <c r="H7" s="25"/>
      <c r="I7" s="25"/>
      <c r="J7" s="25"/>
      <c r="K7" s="25"/>
    </row>
    <row r="8" spans="2:11" s="44" customFormat="1" x14ac:dyDescent="0.3">
      <c r="B8" s="452" t="s">
        <v>351</v>
      </c>
      <c r="C8" s="462" t="s">
        <v>49</v>
      </c>
      <c r="D8" s="462" t="s">
        <v>105</v>
      </c>
      <c r="E8" s="298" t="str">
        <f>'F1'!$E$7</f>
        <v>FY 2024-25</v>
      </c>
      <c r="F8" s="298" t="str">
        <f>'F1'!$F$7</f>
        <v>FY 2025-26</v>
      </c>
      <c r="G8" s="298" t="str">
        <f>'F1'!$G$7</f>
        <v>FY 2026-27</v>
      </c>
      <c r="H8" s="298" t="str">
        <f>'F1'!$H$7</f>
        <v>FY 2027-28</v>
      </c>
      <c r="I8" s="298" t="str">
        <f>'F1'!$I$7</f>
        <v>FY 2028-29</v>
      </c>
      <c r="J8" s="298" t="str">
        <f>'F1'!$J$7</f>
        <v>FY 2029-30</v>
      </c>
      <c r="K8" s="452" t="s">
        <v>40</v>
      </c>
    </row>
    <row r="9" spans="2:11" s="45" customFormat="1" ht="30" customHeight="1" x14ac:dyDescent="0.25">
      <c r="B9" s="462"/>
      <c r="C9" s="462"/>
      <c r="D9" s="462"/>
      <c r="E9" s="285" t="s">
        <v>569</v>
      </c>
      <c r="F9" s="285" t="s">
        <v>569</v>
      </c>
      <c r="G9" s="400" t="str">
        <f>'F1'!$G$8</f>
        <v>Projection</v>
      </c>
      <c r="H9" s="400" t="str">
        <f>'F1'!$H$8</f>
        <v>Projection</v>
      </c>
      <c r="I9" s="400" t="str">
        <f>'F1'!$I$8</f>
        <v>Projection</v>
      </c>
      <c r="J9" s="400" t="str">
        <f>'F1'!$J$8</f>
        <v>Projection</v>
      </c>
      <c r="K9" s="452"/>
    </row>
    <row r="10" spans="2:11" s="45" customFormat="1" x14ac:dyDescent="0.25">
      <c r="B10" s="48">
        <v>1</v>
      </c>
      <c r="C10" s="147" t="s">
        <v>106</v>
      </c>
      <c r="D10" s="148"/>
      <c r="E10" s="465" t="s">
        <v>650</v>
      </c>
      <c r="F10" s="466"/>
      <c r="G10" s="466"/>
      <c r="H10" s="466"/>
      <c r="I10" s="466"/>
      <c r="J10" s="466"/>
      <c r="K10" s="467"/>
    </row>
    <row r="11" spans="2:11" s="45" customFormat="1" x14ac:dyDescent="0.25">
      <c r="B11" s="149">
        <v>1.1000000000000001</v>
      </c>
      <c r="C11" s="152" t="s">
        <v>107</v>
      </c>
      <c r="D11" s="149" t="s">
        <v>108</v>
      </c>
      <c r="E11" s="468"/>
      <c r="F11" s="448"/>
      <c r="G11" s="448"/>
      <c r="H11" s="448"/>
      <c r="I11" s="448"/>
      <c r="J11" s="448"/>
      <c r="K11" s="469"/>
    </row>
    <row r="12" spans="2:11" s="45" customFormat="1" x14ac:dyDescent="0.25">
      <c r="B12" s="149">
        <v>1.2</v>
      </c>
      <c r="C12" s="150" t="s">
        <v>167</v>
      </c>
      <c r="D12" s="149" t="s">
        <v>110</v>
      </c>
      <c r="E12" s="468"/>
      <c r="F12" s="448"/>
      <c r="G12" s="448"/>
      <c r="H12" s="448"/>
      <c r="I12" s="448"/>
      <c r="J12" s="448"/>
      <c r="K12" s="469"/>
    </row>
    <row r="13" spans="2:11" s="45" customFormat="1" x14ac:dyDescent="0.25">
      <c r="B13" s="149">
        <v>1.3</v>
      </c>
      <c r="C13" s="150" t="s">
        <v>329</v>
      </c>
      <c r="D13" s="149" t="s">
        <v>110</v>
      </c>
      <c r="E13" s="468"/>
      <c r="F13" s="448"/>
      <c r="G13" s="448"/>
      <c r="H13" s="448"/>
      <c r="I13" s="448"/>
      <c r="J13" s="448"/>
      <c r="K13" s="469"/>
    </row>
    <row r="14" spans="2:11" s="45" customFormat="1" x14ac:dyDescent="0.25">
      <c r="B14" s="149">
        <v>1.4</v>
      </c>
      <c r="C14" s="150" t="s">
        <v>168</v>
      </c>
      <c r="D14" s="149" t="s">
        <v>112</v>
      </c>
      <c r="E14" s="468"/>
      <c r="F14" s="448"/>
      <c r="G14" s="448"/>
      <c r="H14" s="448"/>
      <c r="I14" s="448"/>
      <c r="J14" s="448"/>
      <c r="K14" s="469"/>
    </row>
    <row r="15" spans="2:11" s="45" customFormat="1" x14ac:dyDescent="0.25">
      <c r="B15" s="149">
        <v>1.5</v>
      </c>
      <c r="C15" s="162" t="s">
        <v>169</v>
      </c>
      <c r="D15" s="149" t="s">
        <v>112</v>
      </c>
      <c r="E15" s="468"/>
      <c r="F15" s="448"/>
      <c r="G15" s="448"/>
      <c r="H15" s="448"/>
      <c r="I15" s="448"/>
      <c r="J15" s="448"/>
      <c r="K15" s="469"/>
    </row>
    <row r="16" spans="2:11" s="45" customFormat="1" x14ac:dyDescent="0.25">
      <c r="B16" s="149">
        <v>1.6</v>
      </c>
      <c r="C16" s="162" t="s">
        <v>170</v>
      </c>
      <c r="D16" s="149" t="s">
        <v>110</v>
      </c>
      <c r="E16" s="468"/>
      <c r="F16" s="448"/>
      <c r="G16" s="448"/>
      <c r="H16" s="448"/>
      <c r="I16" s="448"/>
      <c r="J16" s="448"/>
      <c r="K16" s="469"/>
    </row>
    <row r="17" spans="2:11" s="45" customFormat="1" x14ac:dyDescent="0.25">
      <c r="B17" s="149">
        <v>1.7</v>
      </c>
      <c r="C17" s="163" t="s">
        <v>170</v>
      </c>
      <c r="D17" s="149" t="s">
        <v>112</v>
      </c>
      <c r="E17" s="468"/>
      <c r="F17" s="448"/>
      <c r="G17" s="448"/>
      <c r="H17" s="448"/>
      <c r="I17" s="448"/>
      <c r="J17" s="448"/>
      <c r="K17" s="469"/>
    </row>
    <row r="18" spans="2:11" s="45" customFormat="1" x14ac:dyDescent="0.25">
      <c r="B18" s="94">
        <v>1.8</v>
      </c>
      <c r="C18" s="162" t="s">
        <v>114</v>
      </c>
      <c r="D18" s="149" t="s">
        <v>112</v>
      </c>
      <c r="E18" s="470"/>
      <c r="F18" s="471"/>
      <c r="G18" s="471"/>
      <c r="H18" s="471"/>
      <c r="I18" s="471"/>
      <c r="J18" s="471"/>
      <c r="K18" s="472"/>
    </row>
    <row r="19" spans="2:11" s="1" customFormat="1" ht="16" x14ac:dyDescent="0.3">
      <c r="B19" s="50"/>
      <c r="C19" s="51"/>
      <c r="D19" s="52"/>
    </row>
  </sheetData>
  <mergeCells count="9">
    <mergeCell ref="E10:K18"/>
    <mergeCell ref="B2:K2"/>
    <mergeCell ref="B3:K3"/>
    <mergeCell ref="B4:K4"/>
    <mergeCell ref="B5:K5"/>
    <mergeCell ref="B8:B9"/>
    <mergeCell ref="C8:C9"/>
    <mergeCell ref="D8:D9"/>
    <mergeCell ref="K8:K9"/>
  </mergeCells>
  <pageMargins left="0.6692913385826772" right="0.23622047244094491" top="0.98425196850393704" bottom="0.98425196850393704" header="0.51181102362204722" footer="0.51181102362204722"/>
  <pageSetup paperSize="9"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K18"/>
  <sheetViews>
    <sheetView showGridLines="0" view="pageBreakPreview" zoomScale="87" zoomScaleNormal="80" zoomScaleSheetLayoutView="87" workbookViewId="0">
      <selection activeCell="G7" sqref="G7:J8"/>
    </sheetView>
  </sheetViews>
  <sheetFormatPr defaultColWidth="9.1796875" defaultRowHeight="14" x14ac:dyDescent="0.25"/>
  <cols>
    <col min="1" max="1" width="3.1796875" style="90" customWidth="1"/>
    <col min="2" max="2" width="7.81640625" style="90" customWidth="1"/>
    <col min="3" max="3" width="54.54296875" style="90" bestFit="1" customWidth="1"/>
    <col min="4" max="4" width="15.7265625" style="90" customWidth="1"/>
    <col min="5" max="11" width="15.1796875" style="90" customWidth="1"/>
    <col min="12" max="16384" width="9.1796875" style="90"/>
  </cols>
  <sheetData>
    <row r="2" spans="2:11" x14ac:dyDescent="0.25">
      <c r="B2" s="447" t="s">
        <v>628</v>
      </c>
      <c r="C2" s="447"/>
      <c r="D2" s="447"/>
      <c r="E2" s="447"/>
      <c r="F2" s="447"/>
      <c r="G2" s="447"/>
      <c r="H2" s="447"/>
      <c r="I2" s="447"/>
      <c r="J2" s="447"/>
      <c r="K2" s="447"/>
    </row>
    <row r="3" spans="2:11" x14ac:dyDescent="0.25">
      <c r="B3" s="448" t="s">
        <v>598</v>
      </c>
      <c r="C3" s="448"/>
      <c r="D3" s="448"/>
      <c r="E3" s="448"/>
      <c r="F3" s="448"/>
      <c r="G3" s="448"/>
      <c r="H3" s="448"/>
      <c r="I3" s="448"/>
      <c r="J3" s="448"/>
      <c r="K3" s="448"/>
    </row>
    <row r="4" spans="2:11" x14ac:dyDescent="0.25">
      <c r="B4" s="448" t="s">
        <v>459</v>
      </c>
      <c r="C4" s="448"/>
      <c r="D4" s="448"/>
      <c r="E4" s="448"/>
      <c r="F4" s="448"/>
      <c r="G4" s="448"/>
      <c r="H4" s="448"/>
      <c r="I4" s="448"/>
      <c r="J4" s="448"/>
      <c r="K4" s="448"/>
    </row>
    <row r="5" spans="2:11" x14ac:dyDescent="0.25">
      <c r="B5" s="448" t="s">
        <v>629</v>
      </c>
      <c r="C5" s="448"/>
      <c r="D5" s="448"/>
      <c r="E5" s="448"/>
      <c r="F5" s="448"/>
      <c r="G5" s="448"/>
      <c r="H5" s="448"/>
      <c r="I5" s="448"/>
      <c r="J5" s="448"/>
      <c r="K5" s="448"/>
    </row>
    <row r="6" spans="2:11" x14ac:dyDescent="0.25">
      <c r="B6" s="165"/>
      <c r="C6" s="166"/>
      <c r="D6" s="167"/>
      <c r="K6" s="29"/>
    </row>
    <row r="7" spans="2:11" x14ac:dyDescent="0.25">
      <c r="B7" s="463" t="s">
        <v>351</v>
      </c>
      <c r="C7" s="464" t="s">
        <v>49</v>
      </c>
      <c r="D7" s="464" t="s">
        <v>456</v>
      </c>
      <c r="E7" s="298" t="str">
        <f>'F1'!$E$7</f>
        <v>FY 2024-25</v>
      </c>
      <c r="F7" s="298" t="str">
        <f>'F1'!$F$7</f>
        <v>FY 2025-26</v>
      </c>
      <c r="G7" s="298" t="str">
        <f>'F1'!$G$7</f>
        <v>FY 2026-27</v>
      </c>
      <c r="H7" s="298" t="str">
        <f>'F1'!$H$7</f>
        <v>FY 2027-28</v>
      </c>
      <c r="I7" s="298" t="str">
        <f>'F1'!$I$7</f>
        <v>FY 2028-29</v>
      </c>
      <c r="J7" s="298" t="str">
        <f>'F1'!$J$7</f>
        <v>FY 2029-30</v>
      </c>
      <c r="K7" s="452" t="s">
        <v>40</v>
      </c>
    </row>
    <row r="8" spans="2:11" ht="28" x14ac:dyDescent="0.25">
      <c r="B8" s="463"/>
      <c r="C8" s="464"/>
      <c r="D8" s="464"/>
      <c r="E8" s="285" t="s">
        <v>569</v>
      </c>
      <c r="F8" s="285" t="s">
        <v>569</v>
      </c>
      <c r="G8" s="400" t="str">
        <f>'F1'!$G$8</f>
        <v>Projection</v>
      </c>
      <c r="H8" s="400" t="str">
        <f>'F1'!$H$8</f>
        <v>Projection</v>
      </c>
      <c r="I8" s="400" t="str">
        <f>'F1'!$I$8</f>
        <v>Projection</v>
      </c>
      <c r="J8" s="400" t="str">
        <f>'F1'!$J$8</f>
        <v>Projection</v>
      </c>
      <c r="K8" s="452"/>
    </row>
    <row r="9" spans="2:11" s="66" customFormat="1" x14ac:dyDescent="0.25">
      <c r="B9" s="168">
        <v>1</v>
      </c>
      <c r="C9" s="169" t="s">
        <v>458</v>
      </c>
      <c r="D9" s="172" t="s">
        <v>363</v>
      </c>
      <c r="E9" s="465" t="s">
        <v>640</v>
      </c>
      <c r="F9" s="466"/>
      <c r="G9" s="466"/>
      <c r="H9" s="466"/>
      <c r="I9" s="466"/>
      <c r="J9" s="466"/>
      <c r="K9" s="467"/>
    </row>
    <row r="10" spans="2:11" s="66" customFormat="1" x14ac:dyDescent="0.25">
      <c r="B10" s="168">
        <f>B9+1</f>
        <v>2</v>
      </c>
      <c r="C10" s="169" t="s">
        <v>426</v>
      </c>
      <c r="D10" s="172" t="s">
        <v>364</v>
      </c>
      <c r="E10" s="468"/>
      <c r="F10" s="448"/>
      <c r="G10" s="448"/>
      <c r="H10" s="448"/>
      <c r="I10" s="448"/>
      <c r="J10" s="448"/>
      <c r="K10" s="469"/>
    </row>
    <row r="11" spans="2:11" s="66" customFormat="1" x14ac:dyDescent="0.25">
      <c r="B11" s="168">
        <f t="shared" ref="B11:B17" si="0">B10+1</f>
        <v>3</v>
      </c>
      <c r="C11" s="169" t="s">
        <v>377</v>
      </c>
      <c r="D11" s="172" t="s">
        <v>371</v>
      </c>
      <c r="E11" s="468"/>
      <c r="F11" s="448"/>
      <c r="G11" s="448"/>
      <c r="H11" s="448"/>
      <c r="I11" s="448"/>
      <c r="J11" s="448"/>
      <c r="K11" s="469"/>
    </row>
    <row r="12" spans="2:11" x14ac:dyDescent="0.25">
      <c r="B12" s="168">
        <f t="shared" si="0"/>
        <v>4</v>
      </c>
      <c r="C12" s="170" t="s">
        <v>460</v>
      </c>
      <c r="D12" s="172" t="s">
        <v>457</v>
      </c>
      <c r="E12" s="468"/>
      <c r="F12" s="448"/>
      <c r="G12" s="448"/>
      <c r="H12" s="448"/>
      <c r="I12" s="448"/>
      <c r="J12" s="448"/>
      <c r="K12" s="469"/>
    </row>
    <row r="13" spans="2:11" x14ac:dyDescent="0.25">
      <c r="B13" s="168"/>
      <c r="C13" s="171"/>
      <c r="D13" s="172"/>
      <c r="E13" s="468"/>
      <c r="F13" s="448"/>
      <c r="G13" s="448"/>
      <c r="H13" s="448"/>
      <c r="I13" s="448"/>
      <c r="J13" s="448"/>
      <c r="K13" s="469"/>
    </row>
    <row r="14" spans="2:11" x14ac:dyDescent="0.25">
      <c r="B14" s="168">
        <v>5</v>
      </c>
      <c r="C14" s="169" t="s">
        <v>378</v>
      </c>
      <c r="D14" s="172" t="s">
        <v>365</v>
      </c>
      <c r="E14" s="468"/>
      <c r="F14" s="448"/>
      <c r="G14" s="448"/>
      <c r="H14" s="448"/>
      <c r="I14" s="448"/>
      <c r="J14" s="448"/>
      <c r="K14" s="469"/>
    </row>
    <row r="15" spans="2:11" s="99" customFormat="1" x14ac:dyDescent="0.25">
      <c r="B15" s="168">
        <f t="shared" si="0"/>
        <v>6</v>
      </c>
      <c r="C15" s="169" t="s">
        <v>379</v>
      </c>
      <c r="D15" s="172" t="s">
        <v>373</v>
      </c>
      <c r="E15" s="468"/>
      <c r="F15" s="448"/>
      <c r="G15" s="448"/>
      <c r="H15" s="448"/>
      <c r="I15" s="448"/>
      <c r="J15" s="448"/>
      <c r="K15" s="469"/>
    </row>
    <row r="16" spans="2:11" s="99" customFormat="1" x14ac:dyDescent="0.25">
      <c r="B16" s="168">
        <f t="shared" si="0"/>
        <v>7</v>
      </c>
      <c r="C16" s="169" t="s">
        <v>380</v>
      </c>
      <c r="D16" s="172" t="s">
        <v>374</v>
      </c>
      <c r="E16" s="468"/>
      <c r="F16" s="448"/>
      <c r="G16" s="448"/>
      <c r="H16" s="448"/>
      <c r="I16" s="448"/>
      <c r="J16" s="448"/>
      <c r="K16" s="469"/>
    </row>
    <row r="17" spans="2:11" s="99" customFormat="1" x14ac:dyDescent="0.25">
      <c r="B17" s="168">
        <f t="shared" si="0"/>
        <v>8</v>
      </c>
      <c r="C17" s="173" t="s">
        <v>381</v>
      </c>
      <c r="D17" s="172" t="s">
        <v>375</v>
      </c>
      <c r="E17" s="470"/>
      <c r="F17" s="471"/>
      <c r="G17" s="471"/>
      <c r="H17" s="471"/>
      <c r="I17" s="471"/>
      <c r="J17" s="471"/>
      <c r="K17" s="472"/>
    </row>
    <row r="18" spans="2:11" s="99" customFormat="1" x14ac:dyDescent="0.25">
      <c r="B18" s="90"/>
      <c r="C18" s="90"/>
    </row>
  </sheetData>
  <mergeCells count="9">
    <mergeCell ref="E9:K17"/>
    <mergeCell ref="B2:K2"/>
    <mergeCell ref="B3:K3"/>
    <mergeCell ref="B4:K4"/>
    <mergeCell ref="B5:K5"/>
    <mergeCell ref="K7:K8"/>
    <mergeCell ref="B7:B8"/>
    <mergeCell ref="C7:C8"/>
    <mergeCell ref="D7:D8"/>
  </mergeCells>
  <pageMargins left="0.75" right="0.75" top="1" bottom="1" header="0.5" footer="0.5"/>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16</vt:i4>
      </vt:variant>
    </vt:vector>
  </HeadingPairs>
  <TitlesOfParts>
    <vt:vector size="48" baseType="lpstr">
      <vt:lpstr>Index</vt:lpstr>
      <vt:lpstr>F1</vt:lpstr>
      <vt:lpstr>F1.1</vt:lpstr>
      <vt:lpstr>F2.1</vt:lpstr>
      <vt:lpstr>F2.2</vt:lpstr>
      <vt:lpstr>F2.3</vt:lpstr>
      <vt:lpstr>F2.4</vt:lpstr>
      <vt:lpstr>F2.5</vt:lpstr>
      <vt:lpstr>F2.6</vt:lpstr>
      <vt:lpstr>F2.7</vt:lpstr>
      <vt:lpstr>F2.8</vt:lpstr>
      <vt:lpstr>F3</vt:lpstr>
      <vt:lpstr>F3.1</vt:lpstr>
      <vt:lpstr>F3.2</vt:lpstr>
      <vt:lpstr>F3.3</vt:lpstr>
      <vt:lpstr>F3.4</vt:lpstr>
      <vt:lpstr>F4</vt:lpstr>
      <vt:lpstr>F4.1</vt:lpstr>
      <vt:lpstr>F4.2</vt:lpstr>
      <vt:lpstr>F4.3</vt:lpstr>
      <vt:lpstr>F5</vt:lpstr>
      <vt:lpstr>F6</vt:lpstr>
      <vt:lpstr>F7</vt:lpstr>
      <vt:lpstr>F8</vt:lpstr>
      <vt:lpstr>F9</vt:lpstr>
      <vt:lpstr>F9.1</vt:lpstr>
      <vt:lpstr>F9.2</vt:lpstr>
      <vt:lpstr>F9.3</vt:lpstr>
      <vt:lpstr>F10</vt:lpstr>
      <vt:lpstr>F11</vt:lpstr>
      <vt:lpstr>F12</vt:lpstr>
      <vt:lpstr>F13</vt:lpstr>
      <vt:lpstr>F1.1!Print_Area</vt:lpstr>
      <vt:lpstr>'F11'!Print_Area</vt:lpstr>
      <vt:lpstr>F2.1!Print_Area</vt:lpstr>
      <vt:lpstr>F2.3!Print_Area</vt:lpstr>
      <vt:lpstr>F2.4!Print_Area</vt:lpstr>
      <vt:lpstr>F2.7!Print_Area</vt:lpstr>
      <vt:lpstr>F2.8!Print_Area</vt:lpstr>
      <vt:lpstr>F3.1!Print_Area</vt:lpstr>
      <vt:lpstr>'F4'!Print_Area</vt:lpstr>
      <vt:lpstr>F4.1!Print_Area</vt:lpstr>
      <vt:lpstr>'F7'!Print_Area</vt:lpstr>
      <vt:lpstr>'F8'!Print_Area</vt:lpstr>
      <vt:lpstr>'F9'!Print_Area</vt:lpstr>
      <vt:lpstr>F9.2!Print_Area</vt:lpstr>
      <vt:lpstr>F9.3!Print_Area</vt:lpstr>
      <vt:lpstr>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Palaniappan M</dc:creator>
  <cp:lastModifiedBy>A.V. Patkare</cp:lastModifiedBy>
  <cp:lastPrinted>2015-12-09T09:26:13Z</cp:lastPrinted>
  <dcterms:created xsi:type="dcterms:W3CDTF">2004-07-28T05:30:50Z</dcterms:created>
  <dcterms:modified xsi:type="dcterms:W3CDTF">2024-11-20T13:03:53Z</dcterms:modified>
</cp:coreProperties>
</file>